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 codeName="{B1BEFC71-4687-E4F5-767E-874F2C42665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arlos.lara/Documents/BALDOR/CONCURSO/simuladores/"/>
    </mc:Choice>
  </mc:AlternateContent>
  <xr:revisionPtr revIDLastSave="0" documentId="8_{72C819C0-FC2C-C14F-8E56-458873441F5D}" xr6:coauthVersionLast="45" xr6:coauthVersionMax="45" xr10:uidLastSave="{00000000-0000-0000-0000-000000000000}"/>
  <bookViews>
    <workbookView xWindow="6340" yWindow="12440" windowWidth="31960" windowHeight="12780" xr2:uid="{00000000-000D-0000-FFFF-FFFF00000000}"/>
  </bookViews>
  <sheets>
    <sheet name="Cap_3" sheetId="1" r:id="rId1"/>
    <sheet name="Cap_4" sheetId="14" r:id="rId2"/>
    <sheet name="Cap_9" sheetId="11" r:id="rId3"/>
    <sheet name="Cap_15" sheetId="15" r:id="rId4"/>
    <sheet name="Cap19" sheetId="4" r:id="rId5"/>
    <sheet name="Cap_20" sheetId="2" r:id="rId6"/>
    <sheet name="Cap_21" sheetId="3" r:id="rId7"/>
    <sheet name="Cap_22" sheetId="5" r:id="rId8"/>
    <sheet name="Cap_23" sheetId="10" r:id="rId9"/>
    <sheet name="Cap_24" sheetId="6" r:id="rId10"/>
    <sheet name="Cap_25" sheetId="7" r:id="rId11"/>
    <sheet name="Cap_27" sheetId="9" r:id="rId12"/>
    <sheet name="Cap_28" sheetId="8" r:id="rId13"/>
    <sheet name="Cap_29" sheetId="16" r:id="rId14"/>
    <sheet name="Cap_30" sheetId="17" r:id="rId15"/>
    <sheet name="Cap_33" sheetId="18" r:id="rId16"/>
    <sheet name="X" sheetId="19" r:id="rId17"/>
  </sheets>
  <functionGroups builtInGroupCount="19"/>
  <definedNames>
    <definedName name="_xlnm._FilterDatabase" localSheetId="8" hidden="1">Cap_23!$U$4:$X$4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3" i="7" l="1"/>
  <c r="AN12" i="7"/>
  <c r="AN11" i="7"/>
  <c r="AN10" i="7"/>
  <c r="AN9" i="7"/>
  <c r="AN8" i="7"/>
  <c r="AN7" i="7"/>
  <c r="AN6" i="7"/>
  <c r="AN5" i="7"/>
  <c r="AN4" i="7"/>
  <c r="C17" i="7"/>
  <c r="C16" i="7"/>
  <c r="C15" i="7"/>
  <c r="C14" i="7"/>
  <c r="C13" i="7"/>
  <c r="C11" i="7"/>
  <c r="C10" i="7"/>
  <c r="C9" i="7"/>
  <c r="C8" i="7"/>
  <c r="C7" i="7"/>
  <c r="C6" i="7"/>
  <c r="C5" i="7"/>
  <c r="C4" i="7"/>
  <c r="CR38" i="7"/>
  <c r="CR36" i="7"/>
  <c r="CR35" i="7"/>
  <c r="CR34" i="7"/>
  <c r="CR33" i="7"/>
  <c r="BP33" i="7"/>
  <c r="AZ33" i="7"/>
  <c r="AV33" i="7"/>
  <c r="CR32" i="7"/>
  <c r="BP32" i="7"/>
  <c r="AZ32" i="7"/>
  <c r="AV32" i="7"/>
  <c r="G32" i="7"/>
  <c r="CR31" i="7"/>
  <c r="BP31" i="7"/>
  <c r="AZ31" i="7"/>
  <c r="AV31" i="7"/>
  <c r="K31" i="7"/>
  <c r="G31" i="7"/>
  <c r="CR30" i="7"/>
  <c r="BP30" i="7"/>
  <c r="AZ30" i="7"/>
  <c r="AV30" i="7"/>
  <c r="K30" i="7"/>
  <c r="G30" i="7"/>
  <c r="CR29" i="7"/>
  <c r="AZ29" i="7"/>
  <c r="AV29" i="7"/>
  <c r="K29" i="7"/>
  <c r="G29" i="7"/>
  <c r="CR28" i="7"/>
  <c r="AZ28" i="7"/>
  <c r="AV28" i="7"/>
  <c r="K28" i="7"/>
  <c r="G28" i="7"/>
  <c r="CR27" i="7"/>
  <c r="BP27" i="7"/>
  <c r="AZ27" i="7"/>
  <c r="AV27" i="7"/>
  <c r="K27" i="7"/>
  <c r="G27" i="7"/>
  <c r="CR26" i="7"/>
  <c r="BP26" i="7"/>
  <c r="AZ26" i="7"/>
  <c r="K26" i="7"/>
  <c r="G26" i="7"/>
  <c r="CR25" i="7"/>
  <c r="BP25" i="7"/>
  <c r="AZ25" i="7"/>
  <c r="AV25" i="7"/>
  <c r="K25" i="7"/>
  <c r="G25" i="7"/>
  <c r="CR24" i="7"/>
  <c r="BP24" i="7"/>
  <c r="AZ24" i="7"/>
  <c r="AV24" i="7"/>
  <c r="K24" i="7"/>
  <c r="G24" i="7"/>
  <c r="CR23" i="7"/>
  <c r="CN23" i="7"/>
  <c r="CF23" i="7"/>
  <c r="BP23" i="7"/>
  <c r="BL23" i="7"/>
  <c r="BH23" i="7"/>
  <c r="AZ23" i="7"/>
  <c r="AV23" i="7"/>
  <c r="AR23" i="7"/>
  <c r="AE23" i="7"/>
  <c r="W23" i="7"/>
  <c r="O23" i="7"/>
  <c r="K23" i="7"/>
  <c r="G23" i="7"/>
  <c r="CR22" i="7"/>
  <c r="CN22" i="7"/>
  <c r="CF22" i="7"/>
  <c r="BP22" i="7"/>
  <c r="BL22" i="7"/>
  <c r="BH22" i="7"/>
  <c r="AZ22" i="7"/>
  <c r="AV22" i="7"/>
  <c r="AE22" i="7"/>
  <c r="O22" i="7"/>
  <c r="K22" i="7"/>
  <c r="G22" i="7"/>
  <c r="CR21" i="7"/>
  <c r="CN21" i="7"/>
  <c r="CF21" i="7"/>
  <c r="BT21" i="7"/>
  <c r="BP21" i="7"/>
  <c r="BL21" i="7"/>
  <c r="BH21" i="7"/>
  <c r="BD21" i="7"/>
  <c r="AZ21" i="7"/>
  <c r="AV21" i="7"/>
  <c r="AR21" i="7"/>
  <c r="AE21" i="7"/>
  <c r="W21" i="7"/>
  <c r="O21" i="7"/>
  <c r="K21" i="7"/>
  <c r="G21" i="7"/>
  <c r="CR20" i="7"/>
  <c r="CN20" i="7"/>
  <c r="CF20" i="7"/>
  <c r="BT20" i="7"/>
  <c r="BP20" i="7"/>
  <c r="BL20" i="7"/>
  <c r="BH20" i="7"/>
  <c r="BD20" i="7"/>
  <c r="AZ20" i="7"/>
  <c r="AV20" i="7"/>
  <c r="AR20" i="7"/>
  <c r="AE20" i="7"/>
  <c r="W20" i="7"/>
  <c r="O20" i="7"/>
  <c r="K20" i="7"/>
  <c r="G20" i="7"/>
  <c r="CR19" i="7"/>
  <c r="CN19" i="7"/>
  <c r="CF19" i="7"/>
  <c r="BT19" i="7"/>
  <c r="BP19" i="7"/>
  <c r="BL19" i="7"/>
  <c r="BH19" i="7"/>
  <c r="BD19" i="7"/>
  <c r="AZ19" i="7"/>
  <c r="AV19" i="7"/>
  <c r="AR19" i="7"/>
  <c r="AE19" i="7"/>
  <c r="W19" i="7"/>
  <c r="O19" i="7"/>
  <c r="K19" i="7"/>
  <c r="CR18" i="7"/>
  <c r="CN18" i="7"/>
  <c r="CJ18" i="7"/>
  <c r="CF18" i="7"/>
  <c r="CB18" i="7"/>
  <c r="BT18" i="7"/>
  <c r="BP18" i="7"/>
  <c r="BL18" i="7"/>
  <c r="BH18" i="7"/>
  <c r="BD18" i="7"/>
  <c r="AZ18" i="7"/>
  <c r="AV18" i="7"/>
  <c r="AR18" i="7"/>
  <c r="AI18" i="7"/>
  <c r="AE18" i="7"/>
  <c r="W18" i="7"/>
  <c r="S18" i="7"/>
  <c r="O18" i="7"/>
  <c r="K18" i="7"/>
  <c r="G18" i="7"/>
  <c r="CR17" i="7"/>
  <c r="CN17" i="7"/>
  <c r="CJ17" i="7"/>
  <c r="CF17" i="7"/>
  <c r="CB17" i="7"/>
  <c r="BT17" i="7"/>
  <c r="BL17" i="7"/>
  <c r="BH17" i="7"/>
  <c r="BD17" i="7"/>
  <c r="AZ17" i="7"/>
  <c r="AV17" i="7"/>
  <c r="AR17" i="7"/>
  <c r="AI17" i="7"/>
  <c r="AE17" i="7"/>
  <c r="AA17" i="7"/>
  <c r="W17" i="7"/>
  <c r="S17" i="7"/>
  <c r="O17" i="7"/>
  <c r="K17" i="7"/>
  <c r="G17" i="7"/>
  <c r="CR16" i="7"/>
  <c r="CN16" i="7"/>
  <c r="CJ16" i="7"/>
  <c r="CF16" i="7"/>
  <c r="CB16" i="7"/>
  <c r="BT16" i="7"/>
  <c r="BP16" i="7"/>
  <c r="BL16" i="7"/>
  <c r="BH16" i="7"/>
  <c r="BD16" i="7"/>
  <c r="AZ16" i="7"/>
  <c r="AV16" i="7"/>
  <c r="AR16" i="7"/>
  <c r="AI16" i="7"/>
  <c r="AE16" i="7"/>
  <c r="AA16" i="7"/>
  <c r="W16" i="7"/>
  <c r="S16" i="7"/>
  <c r="O16" i="7"/>
  <c r="K16" i="7"/>
  <c r="G16" i="7"/>
  <c r="CR15" i="7"/>
  <c r="CN15" i="7"/>
  <c r="CJ15" i="7"/>
  <c r="CF15" i="7"/>
  <c r="CB15" i="7"/>
  <c r="BT15" i="7"/>
  <c r="BP15" i="7"/>
  <c r="BL15" i="7"/>
  <c r="BH15" i="7"/>
  <c r="BD15" i="7"/>
  <c r="AZ15" i="7"/>
  <c r="AV15" i="7"/>
  <c r="AR15" i="7"/>
  <c r="AI15" i="7"/>
  <c r="AE15" i="7"/>
  <c r="AA15" i="7"/>
  <c r="W15" i="7"/>
  <c r="S15" i="7"/>
  <c r="O15" i="7"/>
  <c r="K15" i="7"/>
  <c r="G15" i="7"/>
  <c r="CR14" i="7"/>
  <c r="CN14" i="7"/>
  <c r="CJ14" i="7"/>
  <c r="CF14" i="7"/>
  <c r="CB14" i="7"/>
  <c r="BT14" i="7"/>
  <c r="BP14" i="7"/>
  <c r="BL14" i="7"/>
  <c r="BH14" i="7"/>
  <c r="BD14" i="7"/>
  <c r="AZ14" i="7"/>
  <c r="AV14" i="7"/>
  <c r="AR14" i="7"/>
  <c r="AI14" i="7"/>
  <c r="AE14" i="7"/>
  <c r="AA14" i="7"/>
  <c r="W14" i="7"/>
  <c r="S14" i="7"/>
  <c r="O14" i="7"/>
  <c r="K14" i="7"/>
  <c r="G14" i="7"/>
  <c r="CR13" i="7"/>
  <c r="CN13" i="7"/>
  <c r="CJ13" i="7"/>
  <c r="CF13" i="7"/>
  <c r="CB13" i="7"/>
  <c r="BT13" i="7"/>
  <c r="BP13" i="7"/>
  <c r="BL13" i="7"/>
  <c r="BH13" i="7"/>
  <c r="BD13" i="7"/>
  <c r="AZ13" i="7"/>
  <c r="AV13" i="7"/>
  <c r="AI13" i="7"/>
  <c r="AE13" i="7"/>
  <c r="AA13" i="7"/>
  <c r="W13" i="7"/>
  <c r="S13" i="7"/>
  <c r="O13" i="7"/>
  <c r="K13" i="7"/>
  <c r="G13" i="7"/>
  <c r="CR12" i="7"/>
  <c r="CN12" i="7"/>
  <c r="CJ12" i="7"/>
  <c r="CF12" i="7"/>
  <c r="CB12" i="7"/>
  <c r="BT12" i="7"/>
  <c r="BP12" i="7"/>
  <c r="BL12" i="7"/>
  <c r="BH12" i="7"/>
  <c r="BD12" i="7"/>
  <c r="AZ12" i="7"/>
  <c r="AV12" i="7"/>
  <c r="AI12" i="7"/>
  <c r="AE12" i="7"/>
  <c r="AA12" i="7"/>
  <c r="W12" i="7"/>
  <c r="S12" i="7"/>
  <c r="O12" i="7"/>
  <c r="K12" i="7"/>
  <c r="G12" i="7"/>
  <c r="CR11" i="7"/>
  <c r="CN11" i="7"/>
  <c r="CJ11" i="7"/>
  <c r="CF11" i="7"/>
  <c r="CB11" i="7"/>
  <c r="BT11" i="7"/>
  <c r="BP11" i="7"/>
  <c r="BL11" i="7"/>
  <c r="BH11" i="7"/>
  <c r="BD11" i="7"/>
  <c r="AZ11" i="7"/>
  <c r="AV11" i="7"/>
  <c r="AR11" i="7"/>
  <c r="AI11" i="7"/>
  <c r="AE11" i="7"/>
  <c r="AA11" i="7"/>
  <c r="W11" i="7"/>
  <c r="S11" i="7"/>
  <c r="O11" i="7"/>
  <c r="K11" i="7"/>
  <c r="G11" i="7"/>
  <c r="CR10" i="7"/>
  <c r="CN10" i="7"/>
  <c r="CJ10" i="7"/>
  <c r="CF10" i="7"/>
  <c r="CB10" i="7"/>
  <c r="BT10" i="7"/>
  <c r="BP10" i="7"/>
  <c r="BL10" i="7"/>
  <c r="BH10" i="7"/>
  <c r="BD10" i="7"/>
  <c r="AZ10" i="7"/>
  <c r="AV10" i="7"/>
  <c r="AR10" i="7"/>
  <c r="AI10" i="7"/>
  <c r="AE10" i="7"/>
  <c r="AA10" i="7"/>
  <c r="W10" i="7"/>
  <c r="S10" i="7"/>
  <c r="O10" i="7"/>
  <c r="K10" i="7"/>
  <c r="G10" i="7"/>
  <c r="CR9" i="7"/>
  <c r="CN9" i="7"/>
  <c r="CJ9" i="7"/>
  <c r="CF9" i="7"/>
  <c r="CB9" i="7"/>
  <c r="BT9" i="7"/>
  <c r="BP9" i="7"/>
  <c r="BL9" i="7"/>
  <c r="BH9" i="7"/>
  <c r="BD9" i="7"/>
  <c r="AZ9" i="7"/>
  <c r="AV9" i="7"/>
  <c r="AR9" i="7"/>
  <c r="AI9" i="7"/>
  <c r="AE9" i="7"/>
  <c r="AA9" i="7"/>
  <c r="W9" i="7"/>
  <c r="S9" i="7"/>
  <c r="O9" i="7"/>
  <c r="K9" i="7"/>
  <c r="G9" i="7"/>
  <c r="CR8" i="7"/>
  <c r="CN8" i="7"/>
  <c r="CJ8" i="7"/>
  <c r="CF8" i="7"/>
  <c r="CB8" i="7"/>
  <c r="BT8" i="7"/>
  <c r="BP8" i="7"/>
  <c r="BL8" i="7"/>
  <c r="BH8" i="7"/>
  <c r="BD8" i="7"/>
  <c r="AZ8" i="7"/>
  <c r="AV8" i="7"/>
  <c r="AR8" i="7"/>
  <c r="AI8" i="7"/>
  <c r="AE8" i="7"/>
  <c r="AA8" i="7"/>
  <c r="W8" i="7"/>
  <c r="S8" i="7"/>
  <c r="O8" i="7"/>
  <c r="K8" i="7"/>
  <c r="G8" i="7"/>
  <c r="CR7" i="7"/>
  <c r="CN7" i="7"/>
  <c r="CJ7" i="7"/>
  <c r="CF7" i="7"/>
  <c r="CB7" i="7"/>
  <c r="BT7" i="7"/>
  <c r="BP7" i="7"/>
  <c r="BL7" i="7"/>
  <c r="BH7" i="7"/>
  <c r="BD7" i="7"/>
  <c r="AZ7" i="7"/>
  <c r="AV7" i="7"/>
  <c r="AR7" i="7"/>
  <c r="AI7" i="7"/>
  <c r="AE7" i="7"/>
  <c r="AA7" i="7"/>
  <c r="W7" i="7"/>
  <c r="S7" i="7"/>
  <c r="O7" i="7"/>
  <c r="K7" i="7"/>
  <c r="G7" i="7"/>
  <c r="CR6" i="7"/>
  <c r="CN6" i="7"/>
  <c r="CJ6" i="7"/>
  <c r="CF6" i="7"/>
  <c r="CB6" i="7"/>
  <c r="BT6" i="7"/>
  <c r="BP6" i="7"/>
  <c r="BL6" i="7"/>
  <c r="BH6" i="7"/>
  <c r="BD6" i="7"/>
  <c r="AZ6" i="7"/>
  <c r="AV6" i="7"/>
  <c r="AR6" i="7"/>
  <c r="AI6" i="7"/>
  <c r="AE6" i="7"/>
  <c r="AA6" i="7"/>
  <c r="W6" i="7"/>
  <c r="S6" i="7"/>
  <c r="O6" i="7"/>
  <c r="K6" i="7"/>
  <c r="G6" i="7"/>
  <c r="CR5" i="7"/>
  <c r="CN5" i="7"/>
  <c r="CJ5" i="7"/>
  <c r="CF5" i="7"/>
  <c r="CB5" i="7"/>
  <c r="BT5" i="7"/>
  <c r="BP5" i="7"/>
  <c r="BL5" i="7"/>
  <c r="BH5" i="7"/>
  <c r="BD5" i="7"/>
  <c r="AZ5" i="7"/>
  <c r="AV5" i="7"/>
  <c r="AR5" i="7"/>
  <c r="AI5" i="7"/>
  <c r="AE5" i="7"/>
  <c r="AA5" i="7"/>
  <c r="W5" i="7"/>
  <c r="S5" i="7"/>
  <c r="O5" i="7"/>
  <c r="K5" i="7"/>
  <c r="G5" i="7"/>
  <c r="CR4" i="7"/>
  <c r="CN4" i="7"/>
  <c r="CJ4" i="7"/>
  <c r="CF4" i="7"/>
  <c r="CB4" i="7"/>
  <c r="BT4" i="7"/>
  <c r="BP4" i="7"/>
  <c r="BL4" i="7"/>
  <c r="BH4" i="7"/>
  <c r="BD4" i="7"/>
  <c r="AZ4" i="7"/>
  <c r="AV4" i="7"/>
  <c r="AR4" i="7"/>
  <c r="AI4" i="7"/>
  <c r="AE4" i="7"/>
  <c r="AA4" i="7"/>
  <c r="W4" i="7"/>
  <c r="S4" i="7"/>
  <c r="O4" i="7"/>
  <c r="K4" i="7"/>
  <c r="G4" i="7"/>
  <c r="CQ38" i="19"/>
  <c r="CQ36" i="19"/>
  <c r="CQ35" i="19"/>
  <c r="CQ34" i="19"/>
  <c r="CQ33" i="19"/>
  <c r="BO33" i="19"/>
  <c r="AY33" i="19"/>
  <c r="AU33" i="19"/>
  <c r="CQ32" i="19"/>
  <c r="BO32" i="19"/>
  <c r="AY32" i="19"/>
  <c r="AU32" i="19"/>
  <c r="G32" i="19"/>
  <c r="CQ31" i="19"/>
  <c r="BO31" i="19"/>
  <c r="AY31" i="19"/>
  <c r="AU31" i="19"/>
  <c r="K31" i="19"/>
  <c r="G31" i="19"/>
  <c r="CQ30" i="19"/>
  <c r="BO30" i="19"/>
  <c r="AY30" i="19"/>
  <c r="AU30" i="19"/>
  <c r="K30" i="19"/>
  <c r="G30" i="19"/>
  <c r="CQ29" i="19"/>
  <c r="AY29" i="19"/>
  <c r="AU29" i="19"/>
  <c r="K29" i="19"/>
  <c r="G29" i="19"/>
  <c r="CQ28" i="19"/>
  <c r="AY28" i="19"/>
  <c r="AU28" i="19"/>
  <c r="K28" i="19"/>
  <c r="G28" i="19"/>
  <c r="CQ27" i="19"/>
  <c r="BO27" i="19"/>
  <c r="AY27" i="19"/>
  <c r="AU27" i="19"/>
  <c r="K27" i="19"/>
  <c r="G27" i="19"/>
  <c r="CQ26" i="19"/>
  <c r="BO26" i="19"/>
  <c r="AY26" i="19"/>
  <c r="K26" i="19"/>
  <c r="G26" i="19"/>
  <c r="CQ25" i="19"/>
  <c r="BO25" i="19"/>
  <c r="AY25" i="19"/>
  <c r="AU25" i="19"/>
  <c r="K25" i="19"/>
  <c r="G25" i="19"/>
  <c r="CQ24" i="19"/>
  <c r="BO24" i="19"/>
  <c r="AY24" i="19"/>
  <c r="AU24" i="19"/>
  <c r="K24" i="19"/>
  <c r="G24" i="19"/>
  <c r="CQ23" i="19"/>
  <c r="CM23" i="19"/>
  <c r="CE23" i="19"/>
  <c r="BO23" i="19"/>
  <c r="BK23" i="19"/>
  <c r="BG23" i="19"/>
  <c r="AY23" i="19"/>
  <c r="AU23" i="19"/>
  <c r="AQ23" i="19"/>
  <c r="AE23" i="19"/>
  <c r="W23" i="19"/>
  <c r="O23" i="19"/>
  <c r="K23" i="19"/>
  <c r="G23" i="19"/>
  <c r="CQ22" i="19"/>
  <c r="CM22" i="19"/>
  <c r="CE22" i="19"/>
  <c r="BO22" i="19"/>
  <c r="BK22" i="19"/>
  <c r="BG22" i="19"/>
  <c r="AY22" i="19"/>
  <c r="AU22" i="19"/>
  <c r="AE22" i="19"/>
  <c r="O22" i="19"/>
  <c r="K22" i="19"/>
  <c r="G22" i="19"/>
  <c r="CQ21" i="19"/>
  <c r="CM21" i="19"/>
  <c r="CE21" i="19"/>
  <c r="BS21" i="19"/>
  <c r="BO21" i="19"/>
  <c r="BK21" i="19"/>
  <c r="BG21" i="19"/>
  <c r="BC21" i="19"/>
  <c r="AY21" i="19"/>
  <c r="AU21" i="19"/>
  <c r="AQ21" i="19"/>
  <c r="AE21" i="19"/>
  <c r="W21" i="19"/>
  <c r="O21" i="19"/>
  <c r="K21" i="19"/>
  <c r="G21" i="19"/>
  <c r="CQ20" i="19"/>
  <c r="CM20" i="19"/>
  <c r="CE20" i="19"/>
  <c r="BS20" i="19"/>
  <c r="BO20" i="19"/>
  <c r="BK20" i="19"/>
  <c r="BG20" i="19"/>
  <c r="BC20" i="19"/>
  <c r="AY20" i="19"/>
  <c r="AU20" i="19"/>
  <c r="AQ20" i="19"/>
  <c r="AE20" i="19"/>
  <c r="W20" i="19"/>
  <c r="O20" i="19"/>
  <c r="K20" i="19"/>
  <c r="G20" i="19"/>
  <c r="CQ19" i="19"/>
  <c r="CM19" i="19"/>
  <c r="CE19" i="19"/>
  <c r="BS19" i="19"/>
  <c r="BO19" i="19"/>
  <c r="BK19" i="19"/>
  <c r="BG19" i="19"/>
  <c r="BC19" i="19"/>
  <c r="AY19" i="19"/>
  <c r="AU19" i="19"/>
  <c r="AQ19" i="19"/>
  <c r="AE19" i="19"/>
  <c r="W19" i="19"/>
  <c r="O19" i="19"/>
  <c r="K19" i="19"/>
  <c r="CQ18" i="19"/>
  <c r="CM18" i="19"/>
  <c r="CI18" i="19"/>
  <c r="CE18" i="19"/>
  <c r="CA18" i="19"/>
  <c r="BS18" i="19"/>
  <c r="BO18" i="19"/>
  <c r="BK18" i="19"/>
  <c r="BG18" i="19"/>
  <c r="BC18" i="19"/>
  <c r="AY18" i="19"/>
  <c r="AU18" i="19"/>
  <c r="AQ18" i="19"/>
  <c r="AI18" i="19"/>
  <c r="AE18" i="19"/>
  <c r="W18" i="19"/>
  <c r="S18" i="19"/>
  <c r="O18" i="19"/>
  <c r="K18" i="19"/>
  <c r="G18" i="19"/>
  <c r="CQ17" i="19"/>
  <c r="CM17" i="19"/>
  <c r="CI17" i="19"/>
  <c r="CE17" i="19"/>
  <c r="CA17" i="19"/>
  <c r="BS17" i="19"/>
  <c r="BK17" i="19"/>
  <c r="BG17" i="19"/>
  <c r="BC17" i="19"/>
  <c r="AY17" i="19"/>
  <c r="AU17" i="19"/>
  <c r="AQ17" i="19"/>
  <c r="AI17" i="19"/>
  <c r="AE17" i="19"/>
  <c r="AA17" i="19"/>
  <c r="W17" i="19"/>
  <c r="S17" i="19"/>
  <c r="O17" i="19"/>
  <c r="K17" i="19"/>
  <c r="G17" i="19"/>
  <c r="C17" i="19"/>
  <c r="CQ16" i="19"/>
  <c r="CM16" i="19"/>
  <c r="CI16" i="19"/>
  <c r="CE16" i="19"/>
  <c r="CA16" i="19"/>
  <c r="BS16" i="19"/>
  <c r="BO16" i="19"/>
  <c r="BK16" i="19"/>
  <c r="BG16" i="19"/>
  <c r="BC16" i="19"/>
  <c r="AY16" i="19"/>
  <c r="AU16" i="19"/>
  <c r="AQ16" i="19"/>
  <c r="AI16" i="19"/>
  <c r="AE16" i="19"/>
  <c r="AA16" i="19"/>
  <c r="W16" i="19"/>
  <c r="S16" i="19"/>
  <c r="O16" i="19"/>
  <c r="K16" i="19"/>
  <c r="G16" i="19"/>
  <c r="C16" i="19"/>
  <c r="CQ15" i="19"/>
  <c r="CM15" i="19"/>
  <c r="CI15" i="19"/>
  <c r="CE15" i="19"/>
  <c r="CA15" i="19"/>
  <c r="BS15" i="19"/>
  <c r="BO15" i="19"/>
  <c r="BK15" i="19"/>
  <c r="BG15" i="19"/>
  <c r="BC15" i="19"/>
  <c r="AY15" i="19"/>
  <c r="AU15" i="19"/>
  <c r="AQ15" i="19"/>
  <c r="AI15" i="19"/>
  <c r="AE15" i="19"/>
  <c r="AA15" i="19"/>
  <c r="W15" i="19"/>
  <c r="S15" i="19"/>
  <c r="O15" i="19"/>
  <c r="K15" i="19"/>
  <c r="G15" i="19"/>
  <c r="C15" i="19"/>
  <c r="CQ14" i="19"/>
  <c r="CM14" i="19"/>
  <c r="CI14" i="19"/>
  <c r="CE14" i="19"/>
  <c r="CA14" i="19"/>
  <c r="BS14" i="19"/>
  <c r="BO14" i="19"/>
  <c r="BK14" i="19"/>
  <c r="BG14" i="19"/>
  <c r="BC14" i="19"/>
  <c r="AY14" i="19"/>
  <c r="AU14" i="19"/>
  <c r="AQ14" i="19"/>
  <c r="AI14" i="19"/>
  <c r="AE14" i="19"/>
  <c r="AA14" i="19"/>
  <c r="W14" i="19"/>
  <c r="S14" i="19"/>
  <c r="O14" i="19"/>
  <c r="K14" i="19"/>
  <c r="G14" i="19"/>
  <c r="C14" i="19"/>
  <c r="CQ13" i="19"/>
  <c r="CM13" i="19"/>
  <c r="CI13" i="19"/>
  <c r="CE13" i="19"/>
  <c r="CA13" i="19"/>
  <c r="BS13" i="19"/>
  <c r="BO13" i="19"/>
  <c r="BK13" i="19"/>
  <c r="BG13" i="19"/>
  <c r="BC13" i="19"/>
  <c r="AY13" i="19"/>
  <c r="AU13" i="19"/>
  <c r="AM13" i="19"/>
  <c r="AI13" i="19"/>
  <c r="AE13" i="19"/>
  <c r="AA13" i="19"/>
  <c r="W13" i="19"/>
  <c r="S13" i="19"/>
  <c r="O13" i="19"/>
  <c r="K13" i="19"/>
  <c r="G13" i="19"/>
  <c r="C13" i="19"/>
  <c r="CQ12" i="19"/>
  <c r="CM12" i="19"/>
  <c r="CI12" i="19"/>
  <c r="CE12" i="19"/>
  <c r="CA12" i="19"/>
  <c r="BS12" i="19"/>
  <c r="BO12" i="19"/>
  <c r="BK12" i="19"/>
  <c r="BG12" i="19"/>
  <c r="BC12" i="19"/>
  <c r="AY12" i="19"/>
  <c r="AU12" i="19"/>
  <c r="AM12" i="19"/>
  <c r="AI12" i="19"/>
  <c r="AE12" i="19"/>
  <c r="AA12" i="19"/>
  <c r="W12" i="19"/>
  <c r="S12" i="19"/>
  <c r="O12" i="19"/>
  <c r="K12" i="19"/>
  <c r="G12" i="19"/>
  <c r="CQ11" i="19"/>
  <c r="CM11" i="19"/>
  <c r="CI11" i="19"/>
  <c r="CE11" i="19"/>
  <c r="CA11" i="19"/>
  <c r="BS11" i="19"/>
  <c r="BO11" i="19"/>
  <c r="BK11" i="19"/>
  <c r="BG11" i="19"/>
  <c r="BC11" i="19"/>
  <c r="AY11" i="19"/>
  <c r="AU11" i="19"/>
  <c r="AQ11" i="19"/>
  <c r="AM11" i="19"/>
  <c r="AI11" i="19"/>
  <c r="AE11" i="19"/>
  <c r="AA11" i="19"/>
  <c r="W11" i="19"/>
  <c r="S11" i="19"/>
  <c r="O11" i="19"/>
  <c r="K11" i="19"/>
  <c r="G11" i="19"/>
  <c r="C11" i="19"/>
  <c r="CQ10" i="19"/>
  <c r="CM10" i="19"/>
  <c r="CI10" i="19"/>
  <c r="CE10" i="19"/>
  <c r="CA10" i="19"/>
  <c r="BS10" i="19"/>
  <c r="BO10" i="19"/>
  <c r="BK10" i="19"/>
  <c r="BG10" i="19"/>
  <c r="BC10" i="19"/>
  <c r="AY10" i="19"/>
  <c r="AU10" i="19"/>
  <c r="AQ10" i="19"/>
  <c r="AM10" i="19"/>
  <c r="AI10" i="19"/>
  <c r="AE10" i="19"/>
  <c r="AA10" i="19"/>
  <c r="W10" i="19"/>
  <c r="S10" i="19"/>
  <c r="O10" i="19"/>
  <c r="K10" i="19"/>
  <c r="G10" i="19"/>
  <c r="C10" i="19"/>
  <c r="CQ9" i="19"/>
  <c r="CM9" i="19"/>
  <c r="CI9" i="19"/>
  <c r="CE9" i="19"/>
  <c r="CA9" i="19"/>
  <c r="BS9" i="19"/>
  <c r="BO9" i="19"/>
  <c r="BK9" i="19"/>
  <c r="BG9" i="19"/>
  <c r="BC9" i="19"/>
  <c r="AY9" i="19"/>
  <c r="AU9" i="19"/>
  <c r="AQ9" i="19"/>
  <c r="AM9" i="19"/>
  <c r="AI9" i="19"/>
  <c r="AE9" i="19"/>
  <c r="AA9" i="19"/>
  <c r="W9" i="19"/>
  <c r="S9" i="19"/>
  <c r="O9" i="19"/>
  <c r="K9" i="19"/>
  <c r="G9" i="19"/>
  <c r="C9" i="19"/>
  <c r="CQ8" i="19"/>
  <c r="CM8" i="19"/>
  <c r="CI8" i="19"/>
  <c r="CE8" i="19"/>
  <c r="CA8" i="19"/>
  <c r="BS8" i="19"/>
  <c r="BO8" i="19"/>
  <c r="BK8" i="19"/>
  <c r="BG8" i="19"/>
  <c r="BC8" i="19"/>
  <c r="AY8" i="19"/>
  <c r="AU8" i="19"/>
  <c r="AQ8" i="19"/>
  <c r="AM8" i="19"/>
  <c r="AI8" i="19"/>
  <c r="AE8" i="19"/>
  <c r="AA8" i="19"/>
  <c r="W8" i="19"/>
  <c r="S8" i="19"/>
  <c r="O8" i="19"/>
  <c r="K8" i="19"/>
  <c r="G8" i="19"/>
  <c r="C8" i="19"/>
  <c r="CQ7" i="19"/>
  <c r="CM7" i="19"/>
  <c r="CI7" i="19"/>
  <c r="CE7" i="19"/>
  <c r="CA7" i="19"/>
  <c r="BS7" i="19"/>
  <c r="BO7" i="19"/>
  <c r="BK7" i="19"/>
  <c r="BG7" i="19"/>
  <c r="BC7" i="19"/>
  <c r="AY7" i="19"/>
  <c r="AU7" i="19"/>
  <c r="AQ7" i="19"/>
  <c r="AM7" i="19"/>
  <c r="AI7" i="19"/>
  <c r="AE7" i="19"/>
  <c r="AA7" i="19"/>
  <c r="W7" i="19"/>
  <c r="S7" i="19"/>
  <c r="O7" i="19"/>
  <c r="K7" i="19"/>
  <c r="G7" i="19"/>
  <c r="C7" i="19"/>
  <c r="CQ6" i="19"/>
  <c r="CM6" i="19"/>
  <c r="CI6" i="19"/>
  <c r="CE6" i="19"/>
  <c r="CA6" i="19"/>
  <c r="BS6" i="19"/>
  <c r="BO6" i="19"/>
  <c r="BK6" i="19"/>
  <c r="BG6" i="19"/>
  <c r="BC6" i="19"/>
  <c r="AY6" i="19"/>
  <c r="AU6" i="19"/>
  <c r="AQ6" i="19"/>
  <c r="AM6" i="19"/>
  <c r="AI6" i="19"/>
  <c r="AE6" i="19"/>
  <c r="AA6" i="19"/>
  <c r="W6" i="19"/>
  <c r="S6" i="19"/>
  <c r="O6" i="19"/>
  <c r="K6" i="19"/>
  <c r="G6" i="19"/>
  <c r="C6" i="19"/>
  <c r="CQ5" i="19"/>
  <c r="CM5" i="19"/>
  <c r="CI5" i="19"/>
  <c r="CE5" i="19"/>
  <c r="CA5" i="19"/>
  <c r="BS5" i="19"/>
  <c r="BO5" i="19"/>
  <c r="BK5" i="19"/>
  <c r="BG5" i="19"/>
  <c r="BC5" i="19"/>
  <c r="AY5" i="19"/>
  <c r="AU5" i="19"/>
  <c r="AQ5" i="19"/>
  <c r="AM5" i="19"/>
  <c r="AI5" i="19"/>
  <c r="AE5" i="19"/>
  <c r="AA5" i="19"/>
  <c r="W5" i="19"/>
  <c r="S5" i="19"/>
  <c r="O5" i="19"/>
  <c r="K5" i="19"/>
  <c r="G5" i="19"/>
  <c r="C5" i="19"/>
  <c r="CQ4" i="19"/>
  <c r="CM4" i="19"/>
  <c r="CI4" i="19"/>
  <c r="CE4" i="19"/>
  <c r="CA4" i="19"/>
  <c r="BS4" i="19"/>
  <c r="BO4" i="19"/>
  <c r="BK4" i="19"/>
  <c r="BG4" i="19"/>
  <c r="BC4" i="19"/>
  <c r="AY4" i="19"/>
  <c r="AU4" i="19"/>
  <c r="AQ4" i="19"/>
  <c r="AM4" i="19"/>
  <c r="AI4" i="19"/>
  <c r="AE4" i="19"/>
  <c r="AA4" i="19"/>
  <c r="W4" i="19"/>
  <c r="S4" i="19"/>
  <c r="O4" i="19"/>
  <c r="K4" i="19"/>
  <c r="G4" i="19"/>
  <c r="C4" i="19"/>
  <c r="AN24" i="18" l="1"/>
  <c r="AW5" i="18" l="1"/>
  <c r="AW6" i="18"/>
  <c r="AW7" i="18"/>
  <c r="AW9" i="18"/>
  <c r="AW11" i="18"/>
  <c r="AW12" i="18"/>
  <c r="AW13" i="18"/>
  <c r="AW14" i="18"/>
  <c r="AV4" i="18"/>
  <c r="AW4" i="18" s="1"/>
  <c r="AV5" i="18"/>
  <c r="AV6" i="18"/>
  <c r="AV7" i="18"/>
  <c r="AV8" i="18"/>
  <c r="AW8" i="18" s="1"/>
  <c r="AV9" i="18"/>
  <c r="AV10" i="18"/>
  <c r="AW10" i="18" s="1"/>
  <c r="AV11" i="18"/>
  <c r="AV12" i="18"/>
  <c r="AV13" i="18"/>
  <c r="AV14" i="18"/>
  <c r="AV15" i="18"/>
  <c r="AW15" i="18" s="1"/>
  <c r="AQ5" i="18" l="1"/>
  <c r="AQ6" i="18"/>
  <c r="AQ8" i="18"/>
  <c r="AQ10" i="18"/>
  <c r="AL9" i="18"/>
  <c r="AL12" i="18"/>
  <c r="AL11" i="18"/>
  <c r="AL10" i="18"/>
  <c r="AL8" i="18"/>
  <c r="AL7" i="18"/>
  <c r="AL6" i="18"/>
  <c r="AL5" i="18"/>
  <c r="AL4" i="18"/>
  <c r="AN11" i="18"/>
  <c r="AO5" i="18"/>
  <c r="AO7" i="18"/>
  <c r="AN7" i="18"/>
  <c r="AO11" i="18"/>
  <c r="AO4" i="18"/>
  <c r="AO9" i="18"/>
  <c r="AO8" i="18"/>
  <c r="AN6" i="18"/>
  <c r="AO12" i="18"/>
  <c r="AO10" i="18"/>
  <c r="AN8" i="18"/>
  <c r="AN12" i="18"/>
  <c r="AN5" i="18"/>
  <c r="AN10" i="18"/>
  <c r="AO6" i="18"/>
  <c r="AN9" i="18"/>
  <c r="AN4" i="18"/>
  <c r="AH4" i="18" l="1"/>
  <c r="AA15" i="18"/>
  <c r="AA12" i="18"/>
  <c r="AA11" i="18"/>
  <c r="AA10" i="18"/>
  <c r="AA8" i="18"/>
  <c r="AA7" i="18"/>
  <c r="AA6" i="18"/>
  <c r="AA4" i="18"/>
  <c r="AF28" i="18"/>
  <c r="AF22" i="18"/>
  <c r="AG14" i="18"/>
  <c r="AG17" i="18"/>
  <c r="AF11" i="18"/>
  <c r="AF7" i="18"/>
  <c r="AG8" i="18"/>
  <c r="AG11" i="18"/>
  <c r="X7" i="18"/>
  <c r="AF8" i="18"/>
  <c r="X13" i="18"/>
  <c r="X9" i="18"/>
  <c r="AG25" i="18"/>
  <c r="AF38" i="18"/>
  <c r="AF19" i="18"/>
  <c r="AG21" i="18"/>
  <c r="AF32" i="18"/>
  <c r="AG37" i="18"/>
  <c r="AG29" i="18"/>
  <c r="AF39" i="18"/>
  <c r="AG20" i="18"/>
  <c r="AF31" i="18"/>
  <c r="AG39" i="18"/>
  <c r="AG22" i="18"/>
  <c r="AF23" i="18"/>
  <c r="AF24" i="18"/>
  <c r="AF9" i="18"/>
  <c r="AF17" i="18"/>
  <c r="W10" i="18"/>
  <c r="W15" i="18"/>
  <c r="AG12" i="18"/>
  <c r="W9" i="18"/>
  <c r="X15" i="18"/>
  <c r="AF13" i="18"/>
  <c r="X6" i="18"/>
  <c r="X10" i="18"/>
  <c r="W11" i="18"/>
  <c r="W8" i="18"/>
  <c r="AG9" i="18"/>
  <c r="AG35" i="18"/>
  <c r="AF33" i="18"/>
  <c r="AG36" i="18"/>
  <c r="AG30" i="18"/>
  <c r="AF35" i="18"/>
  <c r="AG5" i="18"/>
  <c r="AF14" i="18"/>
  <c r="AF20" i="18"/>
  <c r="AF6" i="18"/>
  <c r="AG13" i="18"/>
  <c r="AG18" i="18"/>
  <c r="AG19" i="18"/>
  <c r="AG6" i="18"/>
  <c r="AF25" i="18"/>
  <c r="AG10" i="18"/>
  <c r="AF18" i="18"/>
  <c r="AF21" i="18"/>
  <c r="AG7" i="18"/>
  <c r="X8" i="18"/>
  <c r="AF12" i="18"/>
  <c r="X14" i="18"/>
  <c r="AF5" i="18"/>
  <c r="AG23" i="18"/>
  <c r="AF29" i="18"/>
  <c r="AG32" i="18"/>
  <c r="AG24" i="18"/>
  <c r="AF34" i="18"/>
  <c r="X4" i="18"/>
  <c r="AG31" i="18"/>
  <c r="AG38" i="18"/>
  <c r="AG28" i="18"/>
  <c r="AF37" i="18"/>
  <c r="AG26" i="18"/>
  <c r="AF27" i="18"/>
  <c r="AG16" i="18"/>
  <c r="AG27" i="18"/>
  <c r="AF15" i="18"/>
  <c r="AF26" i="18"/>
  <c r="W12" i="18"/>
  <c r="X12" i="18"/>
  <c r="W13" i="18"/>
  <c r="AG34" i="18"/>
  <c r="X11" i="18"/>
  <c r="AF4" i="18"/>
  <c r="W7" i="18"/>
  <c r="AG15" i="18"/>
  <c r="W5" i="18"/>
  <c r="X5" i="18"/>
  <c r="W14" i="18"/>
  <c r="W6" i="18"/>
  <c r="AF36" i="18"/>
  <c r="W4" i="18"/>
  <c r="AF30" i="18"/>
  <c r="AG33" i="18"/>
  <c r="AF10" i="18"/>
  <c r="AF16" i="18"/>
  <c r="AG4" i="18"/>
  <c r="R5" i="18" l="1"/>
  <c r="R6" i="18"/>
  <c r="R7" i="18"/>
  <c r="R8" i="18"/>
  <c r="R9" i="18"/>
  <c r="R10" i="18"/>
  <c r="R11" i="18"/>
  <c r="R12" i="18"/>
  <c r="R14" i="18"/>
  <c r="R16" i="18"/>
  <c r="R18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4" i="18"/>
  <c r="H21" i="18"/>
  <c r="H18" i="18"/>
  <c r="H17" i="18"/>
  <c r="H16" i="18"/>
  <c r="H15" i="18"/>
  <c r="H14" i="18"/>
  <c r="H19" i="18"/>
  <c r="H20" i="18"/>
  <c r="H13" i="18"/>
  <c r="H12" i="18"/>
  <c r="H10" i="18"/>
  <c r="H9" i="18"/>
  <c r="H5" i="18"/>
  <c r="H6" i="18"/>
  <c r="H7" i="18"/>
  <c r="H8" i="18"/>
  <c r="H11" i="18"/>
  <c r="H4" i="18"/>
  <c r="N8" i="18"/>
  <c r="N15" i="18"/>
  <c r="N18" i="18"/>
  <c r="N11" i="18"/>
  <c r="N13" i="18"/>
  <c r="N5" i="18"/>
  <c r="N12" i="18"/>
  <c r="N4" i="18"/>
  <c r="N16" i="18"/>
  <c r="N9" i="18"/>
  <c r="N6" i="18"/>
  <c r="N10" i="18"/>
  <c r="N14" i="18"/>
  <c r="N17" i="18"/>
  <c r="N7" i="18"/>
  <c r="I21" i="18" l="1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D13" i="18"/>
  <c r="D21" i="18"/>
  <c r="C5" i="18"/>
  <c r="D5" i="18" s="1"/>
  <c r="C6" i="18"/>
  <c r="D6" i="18" s="1"/>
  <c r="C7" i="18"/>
  <c r="D7" i="18" s="1"/>
  <c r="C8" i="18"/>
  <c r="D8" i="18" s="1"/>
  <c r="C9" i="18"/>
  <c r="D9" i="18" s="1"/>
  <c r="C10" i="18"/>
  <c r="D10" i="18" s="1"/>
  <c r="C11" i="18"/>
  <c r="D11" i="18" s="1"/>
  <c r="C12" i="18"/>
  <c r="D12" i="18" s="1"/>
  <c r="C13" i="18"/>
  <c r="C14" i="18"/>
  <c r="D14" i="18" s="1"/>
  <c r="C15" i="18"/>
  <c r="D15" i="18" s="1"/>
  <c r="C16" i="18"/>
  <c r="D16" i="18" s="1"/>
  <c r="C17" i="18"/>
  <c r="D17" i="18" s="1"/>
  <c r="C18" i="18"/>
  <c r="D18" i="18" s="1"/>
  <c r="C19" i="18"/>
  <c r="D19" i="18" s="1"/>
  <c r="C20" i="18"/>
  <c r="D20" i="18" s="1"/>
  <c r="C21" i="18"/>
  <c r="C4" i="18"/>
  <c r="D4" i="18" s="1"/>
  <c r="H31" i="17" l="1"/>
  <c r="H30" i="17"/>
  <c r="H29" i="17"/>
  <c r="CW17" i="17" l="1"/>
  <c r="CW18" i="17"/>
  <c r="CW19" i="17"/>
  <c r="CW20" i="17"/>
  <c r="CW21" i="17"/>
  <c r="CW22" i="17"/>
  <c r="CW23" i="17"/>
  <c r="CW24" i="17"/>
  <c r="CW16" i="17"/>
  <c r="CW5" i="17"/>
  <c r="CW6" i="17"/>
  <c r="CW7" i="17"/>
  <c r="CW8" i="17"/>
  <c r="CW9" i="17"/>
  <c r="CW10" i="17"/>
  <c r="CW11" i="17"/>
  <c r="CW12" i="17"/>
  <c r="CW13" i="17"/>
  <c r="CW14" i="17"/>
  <c r="CW15" i="17"/>
  <c r="CW4" i="17"/>
  <c r="CQ12" i="17"/>
  <c r="CQ11" i="17"/>
  <c r="CQ10" i="17"/>
  <c r="CQ9" i="17"/>
  <c r="CQ8" i="17"/>
  <c r="CQ7" i="17"/>
  <c r="CQ6" i="17"/>
  <c r="CQ5" i="17"/>
  <c r="CQ4" i="17"/>
  <c r="CL19" i="17"/>
  <c r="CK19" i="17"/>
  <c r="CK18" i="17"/>
  <c r="CL18" i="17"/>
  <c r="CL12" i="17"/>
  <c r="CK17" i="17"/>
  <c r="CK16" i="17"/>
  <c r="CK15" i="17"/>
  <c r="CK14" i="17"/>
  <c r="CK13" i="17"/>
  <c r="CK11" i="17"/>
  <c r="CK10" i="17"/>
  <c r="CK7" i="17"/>
  <c r="CK9" i="17"/>
  <c r="CK8" i="17"/>
  <c r="CK6" i="17"/>
  <c r="CK5" i="17"/>
  <c r="CK4" i="17"/>
  <c r="CF5" i="17"/>
  <c r="CF6" i="17"/>
  <c r="CF7" i="17"/>
  <c r="CF8" i="17"/>
  <c r="CF9" i="17"/>
  <c r="CG9" i="17" s="1"/>
  <c r="CF10" i="17"/>
  <c r="CG10" i="17" s="1"/>
  <c r="CF11" i="17"/>
  <c r="CG11" i="17" s="1"/>
  <c r="CF12" i="17"/>
  <c r="CG12" i="17" s="1"/>
  <c r="CG5" i="17"/>
  <c r="CG6" i="17"/>
  <c r="CG7" i="17"/>
  <c r="CG8" i="17"/>
  <c r="CF4" i="17"/>
  <c r="CG4" i="17" s="1"/>
  <c r="CB5" i="17"/>
  <c r="CB6" i="17"/>
  <c r="CB7" i="17"/>
  <c r="CB8" i="17"/>
  <c r="CB9" i="17"/>
  <c r="CB10" i="17"/>
  <c r="CB11" i="17"/>
  <c r="CB12" i="17"/>
  <c r="CB13" i="17"/>
  <c r="CB14" i="17"/>
  <c r="CB15" i="17"/>
  <c r="CB4" i="17"/>
  <c r="CA15" i="17"/>
  <c r="CA14" i="17"/>
  <c r="CA13" i="17"/>
  <c r="CA12" i="17"/>
  <c r="CA11" i="17"/>
  <c r="CA10" i="17"/>
  <c r="CA9" i="17"/>
  <c r="CA8" i="17"/>
  <c r="CA7" i="17"/>
  <c r="CA6" i="17"/>
  <c r="CA5" i="17"/>
  <c r="CA4" i="17"/>
  <c r="BW7" i="17"/>
  <c r="BW8" i="17"/>
  <c r="BW9" i="17"/>
  <c r="BW4" i="17"/>
  <c r="BV5" i="17"/>
  <c r="BW5" i="17" s="1"/>
  <c r="BV6" i="17"/>
  <c r="BW6" i="17" s="1"/>
  <c r="BV7" i="17"/>
  <c r="BV8" i="17"/>
  <c r="BV9" i="17"/>
  <c r="BV10" i="17"/>
  <c r="BW10" i="17" s="1"/>
  <c r="BV11" i="17"/>
  <c r="BW11" i="17" s="1"/>
  <c r="BV12" i="17"/>
  <c r="BW12" i="17" s="1"/>
  <c r="BV4" i="17"/>
  <c r="BR5" i="17"/>
  <c r="BR6" i="17"/>
  <c r="BR7" i="17"/>
  <c r="BR8" i="17"/>
  <c r="BR9" i="17"/>
  <c r="BR10" i="17"/>
  <c r="BR11" i="17"/>
  <c r="BR12" i="17"/>
  <c r="BR13" i="17"/>
  <c r="BR14" i="17"/>
  <c r="BR15" i="17"/>
  <c r="BR16" i="17"/>
  <c r="BR17" i="17"/>
  <c r="BR18" i="17"/>
  <c r="BR4" i="17"/>
  <c r="BQ5" i="17"/>
  <c r="BQ6" i="17"/>
  <c r="BQ7" i="17"/>
  <c r="BQ8" i="17"/>
  <c r="BQ9" i="17"/>
  <c r="BQ10" i="17"/>
  <c r="BQ11" i="17"/>
  <c r="BQ12" i="17"/>
  <c r="BQ13" i="17"/>
  <c r="BQ14" i="17"/>
  <c r="BQ15" i="17"/>
  <c r="BQ16" i="17"/>
  <c r="BQ17" i="17"/>
  <c r="BQ18" i="17"/>
  <c r="BQ4" i="17"/>
  <c r="BK24" i="17"/>
  <c r="BJ24" i="17"/>
  <c r="BI24" i="17"/>
  <c r="BH24" i="17"/>
  <c r="BL24" i="17" s="1"/>
  <c r="BK23" i="17"/>
  <c r="BJ23" i="17"/>
  <c r="BI23" i="17"/>
  <c r="BH23" i="17"/>
  <c r="BK22" i="17"/>
  <c r="BJ22" i="17"/>
  <c r="BI22" i="17"/>
  <c r="BH22" i="17"/>
  <c r="BK21" i="17"/>
  <c r="BJ21" i="17"/>
  <c r="BI21" i="17"/>
  <c r="BH21" i="17"/>
  <c r="BK20" i="17"/>
  <c r="BJ20" i="17"/>
  <c r="BI20" i="17"/>
  <c r="BH20" i="17"/>
  <c r="BK19" i="17"/>
  <c r="BJ19" i="17"/>
  <c r="BI19" i="17"/>
  <c r="BH19" i="17"/>
  <c r="BK18" i="17"/>
  <c r="BJ18" i="17"/>
  <c r="BI18" i="17"/>
  <c r="BH18" i="17"/>
  <c r="BK17" i="17"/>
  <c r="BJ17" i="17"/>
  <c r="BI17" i="17"/>
  <c r="BH17" i="17"/>
  <c r="BK16" i="17"/>
  <c r="BJ16" i="17"/>
  <c r="BI16" i="17"/>
  <c r="BH16" i="17"/>
  <c r="BK15" i="17"/>
  <c r="BJ15" i="17"/>
  <c r="BI15" i="17"/>
  <c r="BH15" i="17"/>
  <c r="BK14" i="17"/>
  <c r="BJ14" i="17"/>
  <c r="BI14" i="17"/>
  <c r="BH14" i="17"/>
  <c r="BK13" i="17"/>
  <c r="BJ13" i="17"/>
  <c r="BI13" i="17"/>
  <c r="BH13" i="17"/>
  <c r="BK12" i="17"/>
  <c r="BJ12" i="17"/>
  <c r="BI12" i="17"/>
  <c r="BH12" i="17"/>
  <c r="BK11" i="17"/>
  <c r="BJ11" i="17"/>
  <c r="BI11" i="17"/>
  <c r="BH11" i="17"/>
  <c r="BK10" i="17"/>
  <c r="BJ10" i="17"/>
  <c r="BI10" i="17"/>
  <c r="BH10" i="17"/>
  <c r="BK9" i="17"/>
  <c r="BJ9" i="17"/>
  <c r="BI9" i="17"/>
  <c r="BH9" i="17"/>
  <c r="BK8" i="17"/>
  <c r="BJ8" i="17"/>
  <c r="BI8" i="17"/>
  <c r="BH8" i="17"/>
  <c r="BK7" i="17"/>
  <c r="BJ7" i="17"/>
  <c r="BI7" i="17"/>
  <c r="BH7" i="17"/>
  <c r="BK6" i="17"/>
  <c r="BJ6" i="17"/>
  <c r="BI6" i="17"/>
  <c r="BH6" i="17"/>
  <c r="BK5" i="17"/>
  <c r="BJ5" i="17"/>
  <c r="BI5" i="17"/>
  <c r="BH5" i="17"/>
  <c r="BK4" i="17"/>
  <c r="BJ4" i="17"/>
  <c r="BI4" i="17"/>
  <c r="BH4" i="17"/>
  <c r="BB18" i="17"/>
  <c r="BA18" i="17"/>
  <c r="AZ18" i="17"/>
  <c r="AY18" i="17"/>
  <c r="BB17" i="17"/>
  <c r="BA17" i="17"/>
  <c r="AZ17" i="17"/>
  <c r="AY17" i="17"/>
  <c r="BB16" i="17"/>
  <c r="BA16" i="17"/>
  <c r="AZ16" i="17"/>
  <c r="AY16" i="17"/>
  <c r="BB15" i="17"/>
  <c r="BA15" i="17"/>
  <c r="AZ15" i="17"/>
  <c r="AY15" i="17"/>
  <c r="BB14" i="17"/>
  <c r="BA14" i="17"/>
  <c r="AZ14" i="17"/>
  <c r="AY14" i="17"/>
  <c r="BB13" i="17"/>
  <c r="BA13" i="17"/>
  <c r="AZ13" i="17"/>
  <c r="AY13" i="17"/>
  <c r="BB12" i="17"/>
  <c r="BA12" i="17"/>
  <c r="AZ12" i="17"/>
  <c r="AY12" i="17"/>
  <c r="BB11" i="17"/>
  <c r="BA11" i="17"/>
  <c r="AZ11" i="17"/>
  <c r="AY11" i="17"/>
  <c r="BB10" i="17"/>
  <c r="BA10" i="17"/>
  <c r="AZ10" i="17"/>
  <c r="AY10" i="17"/>
  <c r="BB9" i="17"/>
  <c r="BA9" i="17"/>
  <c r="AZ9" i="17"/>
  <c r="AY9" i="17"/>
  <c r="BB8" i="17"/>
  <c r="BA8" i="17"/>
  <c r="AZ8" i="17"/>
  <c r="AY8" i="17"/>
  <c r="BB7" i="17"/>
  <c r="BA7" i="17"/>
  <c r="AZ7" i="17"/>
  <c r="AY7" i="17"/>
  <c r="BB6" i="17"/>
  <c r="BA6" i="17"/>
  <c r="AZ6" i="17"/>
  <c r="AY6" i="17"/>
  <c r="BB5" i="17"/>
  <c r="BA5" i="17"/>
  <c r="AZ5" i="17"/>
  <c r="AY5" i="17"/>
  <c r="BB4" i="17"/>
  <c r="BA4" i="17"/>
  <c r="AZ4" i="17"/>
  <c r="AY4" i="17"/>
  <c r="AQ5" i="17"/>
  <c r="AQ6" i="17"/>
  <c r="AQ7" i="17"/>
  <c r="AQ8" i="17"/>
  <c r="AQ9" i="17"/>
  <c r="AQ10" i="17"/>
  <c r="AQ11" i="17"/>
  <c r="AQ12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P5" i="17"/>
  <c r="AP6" i="17"/>
  <c r="AP7" i="17"/>
  <c r="AP8" i="17"/>
  <c r="AP9" i="17"/>
  <c r="AP10" i="17"/>
  <c r="AP11" i="17"/>
  <c r="AP12" i="17"/>
  <c r="AP13" i="17"/>
  <c r="AP14" i="17"/>
  <c r="AP15" i="17"/>
  <c r="AP16" i="17"/>
  <c r="AP17" i="17"/>
  <c r="AP18" i="17"/>
  <c r="AP19" i="17"/>
  <c r="AP20" i="17"/>
  <c r="AP21" i="17"/>
  <c r="AP22" i="17"/>
  <c r="AP23" i="17"/>
  <c r="AP24" i="17"/>
  <c r="AR5" i="17"/>
  <c r="AR6" i="17"/>
  <c r="AR7" i="17"/>
  <c r="AR8" i="17"/>
  <c r="AR9" i="17"/>
  <c r="AR10" i="17"/>
  <c r="AR11" i="17"/>
  <c r="AR12" i="17"/>
  <c r="AR13" i="17"/>
  <c r="AR14" i="17"/>
  <c r="AR15" i="17"/>
  <c r="AR16" i="17"/>
  <c r="AR17" i="17"/>
  <c r="AR18" i="17"/>
  <c r="AR19" i="17"/>
  <c r="AR20" i="17"/>
  <c r="AR21" i="17"/>
  <c r="AR22" i="17"/>
  <c r="AR23" i="17"/>
  <c r="AR24" i="17"/>
  <c r="AO5" i="17"/>
  <c r="AO6" i="17"/>
  <c r="AO7" i="17"/>
  <c r="AO8" i="17"/>
  <c r="AO9" i="17"/>
  <c r="AO10" i="17"/>
  <c r="AO11" i="17"/>
  <c r="AO12" i="17"/>
  <c r="AO13" i="17"/>
  <c r="AO14" i="17"/>
  <c r="AO15" i="17"/>
  <c r="AO16" i="17"/>
  <c r="AO17" i="17"/>
  <c r="AO18" i="17"/>
  <c r="AO19" i="17"/>
  <c r="AO20" i="17"/>
  <c r="AS20" i="17" s="1"/>
  <c r="AO21" i="17"/>
  <c r="AO22" i="17"/>
  <c r="AO23" i="17"/>
  <c r="AO24" i="17"/>
  <c r="AQ4" i="17"/>
  <c r="AP4" i="17"/>
  <c r="AR4" i="17"/>
  <c r="AO4" i="17"/>
  <c r="AH24" i="17"/>
  <c r="AG24" i="17"/>
  <c r="AF24" i="17"/>
  <c r="AH23" i="17"/>
  <c r="AG23" i="17"/>
  <c r="AF23" i="17"/>
  <c r="AH22" i="17"/>
  <c r="AG22" i="17"/>
  <c r="AF22" i="17"/>
  <c r="AH21" i="17"/>
  <c r="AG21" i="17"/>
  <c r="AF21" i="17"/>
  <c r="AH20" i="17"/>
  <c r="AG20" i="17"/>
  <c r="AF20" i="17"/>
  <c r="AH19" i="17"/>
  <c r="AG19" i="17"/>
  <c r="AF19" i="17"/>
  <c r="AH18" i="17"/>
  <c r="AG18" i="17"/>
  <c r="AF18" i="17"/>
  <c r="AH17" i="17"/>
  <c r="AG17" i="17"/>
  <c r="AF17" i="17"/>
  <c r="AH16" i="17"/>
  <c r="AG16" i="17"/>
  <c r="AF16" i="17"/>
  <c r="AH15" i="17"/>
  <c r="AG15" i="17"/>
  <c r="AF15" i="17"/>
  <c r="AH14" i="17"/>
  <c r="AG14" i="17"/>
  <c r="AF14" i="17"/>
  <c r="AH13" i="17"/>
  <c r="AG13" i="17"/>
  <c r="AF13" i="17"/>
  <c r="AH12" i="17"/>
  <c r="AG12" i="17"/>
  <c r="AF12" i="17"/>
  <c r="AH11" i="17"/>
  <c r="AG11" i="17"/>
  <c r="AF11" i="17"/>
  <c r="AH10" i="17"/>
  <c r="AG10" i="17"/>
  <c r="AF10" i="17"/>
  <c r="AH9" i="17"/>
  <c r="AG9" i="17"/>
  <c r="AF9" i="17"/>
  <c r="AH8" i="17"/>
  <c r="AG8" i="17"/>
  <c r="AF8" i="17"/>
  <c r="AH7" i="17"/>
  <c r="AG7" i="17"/>
  <c r="AF7" i="17"/>
  <c r="AH6" i="17"/>
  <c r="AG6" i="17"/>
  <c r="AF6" i="17"/>
  <c r="AH5" i="17"/>
  <c r="AG5" i="17"/>
  <c r="AF5" i="17"/>
  <c r="AH4" i="17"/>
  <c r="AG4" i="17"/>
  <c r="AF4" i="17"/>
  <c r="Z18" i="17"/>
  <c r="Y18" i="17"/>
  <c r="X18" i="17"/>
  <c r="Z17" i="17"/>
  <c r="Y17" i="17"/>
  <c r="X17" i="17"/>
  <c r="Z16" i="17"/>
  <c r="Y16" i="17"/>
  <c r="X16" i="17"/>
  <c r="Z15" i="17"/>
  <c r="Y15" i="17"/>
  <c r="X15" i="17"/>
  <c r="Z14" i="17"/>
  <c r="Y14" i="17"/>
  <c r="X14" i="17"/>
  <c r="Z13" i="17"/>
  <c r="Y13" i="17"/>
  <c r="X13" i="17"/>
  <c r="Z12" i="17"/>
  <c r="Y12" i="17"/>
  <c r="X12" i="17"/>
  <c r="Z11" i="17"/>
  <c r="Y11" i="17"/>
  <c r="X11" i="17"/>
  <c r="Z10" i="17"/>
  <c r="Y10" i="17"/>
  <c r="X10" i="17"/>
  <c r="Z9" i="17"/>
  <c r="Y9" i="17"/>
  <c r="X9" i="17"/>
  <c r="Z8" i="17"/>
  <c r="Y8" i="17"/>
  <c r="X8" i="17"/>
  <c r="Z7" i="17"/>
  <c r="Y7" i="17"/>
  <c r="X7" i="17"/>
  <c r="Z6" i="17"/>
  <c r="Y6" i="17"/>
  <c r="X6" i="17"/>
  <c r="Z5" i="17"/>
  <c r="Y5" i="17"/>
  <c r="X5" i="17"/>
  <c r="Z4" i="17"/>
  <c r="Y4" i="17"/>
  <c r="X4" i="17"/>
  <c r="AT15" i="17"/>
  <c r="CU6" i="17"/>
  <c r="CU24" i="17"/>
  <c r="CU4" i="17"/>
  <c r="CU22" i="17"/>
  <c r="CU14" i="17"/>
  <c r="CU23" i="17"/>
  <c r="CU19" i="17"/>
  <c r="CU20" i="17"/>
  <c r="CU9" i="17"/>
  <c r="CU16" i="17"/>
  <c r="CU8" i="17"/>
  <c r="CU13" i="17"/>
  <c r="CU11" i="17"/>
  <c r="BM12" i="17"/>
  <c r="CU15" i="17"/>
  <c r="AT11" i="17"/>
  <c r="CM19" i="17"/>
  <c r="BM11" i="17"/>
  <c r="CU21" i="17"/>
  <c r="CM18" i="17"/>
  <c r="CU5" i="17"/>
  <c r="BM10" i="17"/>
  <c r="CU10" i="17"/>
  <c r="AJ12" i="17"/>
  <c r="CM12" i="17"/>
  <c r="CU17" i="17"/>
  <c r="AS11" i="17" l="1"/>
  <c r="AS5" i="17"/>
  <c r="AS24" i="17"/>
  <c r="AS16" i="17"/>
  <c r="AS23" i="17"/>
  <c r="AI7" i="17"/>
  <c r="BC9" i="17"/>
  <c r="BL7" i="17"/>
  <c r="BL11" i="17"/>
  <c r="BL23" i="17"/>
  <c r="BL5" i="17"/>
  <c r="BL9" i="17"/>
  <c r="BL19" i="17"/>
  <c r="BL17" i="17"/>
  <c r="BL21" i="17"/>
  <c r="AI4" i="17"/>
  <c r="AI20" i="17"/>
  <c r="AS12" i="17"/>
  <c r="BL6" i="17"/>
  <c r="BL12" i="17"/>
  <c r="BL14" i="17"/>
  <c r="BL8" i="17"/>
  <c r="BL16" i="17"/>
  <c r="BL22" i="17"/>
  <c r="BL20" i="17"/>
  <c r="BL18" i="17"/>
  <c r="BL15" i="17"/>
  <c r="BL13" i="17"/>
  <c r="BL10" i="17"/>
  <c r="BL4" i="17"/>
  <c r="AI5" i="17"/>
  <c r="AI13" i="17"/>
  <c r="AI16" i="17"/>
  <c r="AI24" i="17"/>
  <c r="AS18" i="17"/>
  <c r="BC7" i="17"/>
  <c r="AI6" i="17"/>
  <c r="AS17" i="17"/>
  <c r="AS15" i="17"/>
  <c r="AS7" i="17"/>
  <c r="BC12" i="17"/>
  <c r="BC16" i="17"/>
  <c r="AS8" i="17"/>
  <c r="AS22" i="17"/>
  <c r="AS14" i="17"/>
  <c r="AS6" i="17"/>
  <c r="AS10" i="17"/>
  <c r="BC8" i="17"/>
  <c r="AI23" i="17"/>
  <c r="AS9" i="17"/>
  <c r="BC18" i="17"/>
  <c r="BC17" i="17"/>
  <c r="BC15" i="17"/>
  <c r="BC14" i="17"/>
  <c r="BC13" i="17"/>
  <c r="BC11" i="17"/>
  <c r="BC10" i="17"/>
  <c r="BC6" i="17"/>
  <c r="BC5" i="17"/>
  <c r="BC4" i="17"/>
  <c r="AS21" i="17"/>
  <c r="AS13" i="17"/>
  <c r="AS19" i="17"/>
  <c r="AS4" i="17"/>
  <c r="AI10" i="17"/>
  <c r="AI11" i="17"/>
  <c r="AI14" i="17"/>
  <c r="AI22" i="17"/>
  <c r="AI9" i="17"/>
  <c r="AI15" i="17"/>
  <c r="AI21" i="17"/>
  <c r="AI19" i="17"/>
  <c r="AI18" i="17"/>
  <c r="AI17" i="17"/>
  <c r="AI12" i="17"/>
  <c r="AI8" i="17"/>
  <c r="AA18" i="17"/>
  <c r="AA17" i="17"/>
  <c r="AA16" i="17"/>
  <c r="AA15" i="17"/>
  <c r="AA14" i="17"/>
  <c r="AA13" i="17"/>
  <c r="AA12" i="17"/>
  <c r="AA11" i="17"/>
  <c r="AA10" i="17"/>
  <c r="AA9" i="17"/>
  <c r="AA8" i="17"/>
  <c r="AA7" i="17"/>
  <c r="AA6" i="17"/>
  <c r="AA5" i="17"/>
  <c r="AA4" i="17"/>
  <c r="P21" i="17"/>
  <c r="Q21" i="17"/>
  <c r="O21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2" i="17"/>
  <c r="Q23" i="17"/>
  <c r="Q2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2" i="17"/>
  <c r="P23" i="17"/>
  <c r="P2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2" i="17"/>
  <c r="O23" i="17"/>
  <c r="O24" i="17"/>
  <c r="Q4" i="17"/>
  <c r="P4" i="17"/>
  <c r="O4" i="17"/>
  <c r="J23" i="17"/>
  <c r="J22" i="17"/>
  <c r="J20" i="17"/>
  <c r="J19" i="17"/>
  <c r="J17" i="17"/>
  <c r="J16" i="17"/>
  <c r="J15" i="17"/>
  <c r="H23" i="17"/>
  <c r="G23" i="17"/>
  <c r="H22" i="17"/>
  <c r="G22" i="17"/>
  <c r="H21" i="17"/>
  <c r="G21" i="17"/>
  <c r="G20" i="17"/>
  <c r="H20" i="17"/>
  <c r="H19" i="17"/>
  <c r="G19" i="17"/>
  <c r="H18" i="17"/>
  <c r="G18" i="17"/>
  <c r="H17" i="17"/>
  <c r="G17" i="17"/>
  <c r="H16" i="17"/>
  <c r="G16" i="17"/>
  <c r="H15" i="17"/>
  <c r="G15" i="17"/>
  <c r="G14" i="17"/>
  <c r="H14" i="17"/>
  <c r="H13" i="17"/>
  <c r="H12" i="17"/>
  <c r="G12" i="17"/>
  <c r="H11" i="17"/>
  <c r="C15" i="17"/>
  <c r="H10" i="17"/>
  <c r="H9" i="17"/>
  <c r="H8" i="17"/>
  <c r="G8" i="17"/>
  <c r="C13" i="17"/>
  <c r="C12" i="17"/>
  <c r="C11" i="17"/>
  <c r="C10" i="17"/>
  <c r="C9" i="17"/>
  <c r="C8" i="17"/>
  <c r="C7" i="17"/>
  <c r="C6" i="17"/>
  <c r="C5" i="17"/>
  <c r="C4" i="17"/>
  <c r="AQ8" i="16"/>
  <c r="AQ14" i="16"/>
  <c r="AQ13" i="16"/>
  <c r="AQ12" i="16"/>
  <c r="AQ7" i="16"/>
  <c r="AQ11" i="16"/>
  <c r="AQ10" i="16"/>
  <c r="AQ9" i="16"/>
  <c r="AQ6" i="16"/>
  <c r="AQ5" i="16"/>
  <c r="AQ4" i="16"/>
  <c r="AM45" i="16"/>
  <c r="I5" i="17"/>
  <c r="I7" i="17"/>
  <c r="I22" i="17"/>
  <c r="I9" i="17"/>
  <c r="AM40" i="16"/>
  <c r="AM36" i="16"/>
  <c r="AM41" i="16"/>
  <c r="I6" i="17"/>
  <c r="AM42" i="16"/>
  <c r="I16" i="17"/>
  <c r="I13" i="17"/>
  <c r="AM39" i="16"/>
  <c r="AM37" i="16"/>
  <c r="AM46" i="16"/>
  <c r="I4" i="17"/>
  <c r="AM48" i="16"/>
  <c r="AM43" i="16"/>
  <c r="I11" i="17"/>
  <c r="I12" i="17"/>
  <c r="I21" i="17"/>
  <c r="I15" i="17"/>
  <c r="I19" i="17"/>
  <c r="I17" i="17"/>
  <c r="I14" i="17"/>
  <c r="AM47" i="16"/>
  <c r="I8" i="17"/>
  <c r="AM38" i="16"/>
  <c r="AS11" i="16"/>
  <c r="I23" i="17"/>
  <c r="I10" i="17"/>
  <c r="AM44" i="16"/>
  <c r="I18" i="17"/>
  <c r="I20" i="17"/>
  <c r="R5" i="17" l="1"/>
  <c r="R4" i="17"/>
  <c r="R11" i="17"/>
  <c r="R21" i="17"/>
  <c r="R13" i="17"/>
  <c r="R24" i="17"/>
  <c r="R7" i="17"/>
  <c r="R6" i="17"/>
  <c r="R9" i="17"/>
  <c r="R16" i="17"/>
  <c r="R23" i="17"/>
  <c r="R22" i="17"/>
  <c r="R20" i="17"/>
  <c r="R19" i="17"/>
  <c r="R18" i="17"/>
  <c r="R17" i="17"/>
  <c r="R15" i="17"/>
  <c r="R14" i="17"/>
  <c r="R12" i="17"/>
  <c r="R10" i="17"/>
  <c r="R8" i="17"/>
  <c r="AM8" i="16"/>
  <c r="AH13" i="16"/>
  <c r="AH12" i="16"/>
  <c r="AH11" i="16"/>
  <c r="AH10" i="16"/>
  <c r="AH9" i="16"/>
  <c r="AH8" i="16"/>
  <c r="AH7" i="16"/>
  <c r="AH6" i="16"/>
  <c r="AH5" i="16"/>
  <c r="AH4" i="16"/>
  <c r="AM31" i="16"/>
  <c r="AH19" i="16"/>
  <c r="AH22" i="16"/>
  <c r="AM14" i="16"/>
  <c r="AH16" i="16"/>
  <c r="AM29" i="16"/>
  <c r="AH20" i="16"/>
  <c r="AM28" i="16"/>
  <c r="AM22" i="16"/>
  <c r="AM35" i="16"/>
  <c r="AH21" i="16"/>
  <c r="AM15" i="16"/>
  <c r="AM10" i="16"/>
  <c r="AM25" i="16"/>
  <c r="AM20" i="16"/>
  <c r="AM33" i="16"/>
  <c r="AH23" i="16"/>
  <c r="AM12" i="16"/>
  <c r="AH15" i="16"/>
  <c r="AM32" i="16"/>
  <c r="AH14" i="16"/>
  <c r="AM27" i="16"/>
  <c r="AM34" i="16"/>
  <c r="AM30" i="16"/>
  <c r="AH18" i="16"/>
  <c r="AM23" i="16"/>
  <c r="AM19" i="16"/>
  <c r="AH17" i="16"/>
  <c r="AM11" i="16"/>
  <c r="AM21" i="16"/>
  <c r="AM17" i="16"/>
  <c r="L7" i="16" l="1"/>
  <c r="L11" i="16"/>
  <c r="L10" i="16"/>
  <c r="L9" i="16"/>
  <c r="L8" i="16"/>
  <c r="L6" i="16"/>
  <c r="L5" i="16"/>
  <c r="L4" i="16"/>
  <c r="G12" i="15"/>
  <c r="G11" i="15"/>
  <c r="G10" i="15"/>
  <c r="G9" i="15"/>
  <c r="G8" i="15"/>
  <c r="G7" i="15"/>
  <c r="G6" i="15"/>
  <c r="G5" i="15"/>
  <c r="G4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C28" i="15"/>
  <c r="B28" i="15"/>
  <c r="X14" i="16"/>
  <c r="X22" i="16"/>
  <c r="X21" i="16"/>
  <c r="R32" i="16"/>
  <c r="R10" i="16"/>
  <c r="R12" i="16"/>
  <c r="R8" i="16"/>
  <c r="X10" i="16"/>
  <c r="R23" i="16"/>
  <c r="AC15" i="16"/>
  <c r="R18" i="16"/>
  <c r="R26" i="16"/>
  <c r="R28" i="16"/>
  <c r="R14" i="16"/>
  <c r="X19" i="16"/>
  <c r="AC18" i="16"/>
  <c r="AC19" i="16"/>
  <c r="R7" i="16"/>
  <c r="AC23" i="16"/>
  <c r="R11" i="16"/>
  <c r="R27" i="16"/>
  <c r="R29" i="16"/>
  <c r="R6" i="16"/>
  <c r="AC21" i="16"/>
  <c r="X15" i="16"/>
  <c r="R21" i="16"/>
  <c r="AC20" i="16"/>
  <c r="X13" i="16"/>
  <c r="X12" i="16"/>
  <c r="AC17" i="16"/>
  <c r="R4" i="16"/>
  <c r="X17" i="16"/>
  <c r="R5" i="16"/>
  <c r="X4" i="16"/>
  <c r="X7" i="16"/>
  <c r="X16" i="16"/>
  <c r="R24" i="16"/>
  <c r="R31" i="16"/>
  <c r="R19" i="16"/>
  <c r="X23" i="16"/>
  <c r="R30" i="16"/>
  <c r="X5" i="16"/>
  <c r="R22" i="16"/>
  <c r="X18" i="16"/>
  <c r="X6" i="16"/>
  <c r="R33" i="16"/>
  <c r="R20" i="16"/>
  <c r="R25" i="16"/>
  <c r="R9" i="16"/>
  <c r="X9" i="16"/>
  <c r="R13" i="16"/>
  <c r="AC22" i="16"/>
  <c r="R15" i="16"/>
  <c r="X11" i="16"/>
  <c r="R17" i="16"/>
  <c r="X8" i="16"/>
  <c r="R16" i="16"/>
  <c r="X20" i="16"/>
  <c r="C21" i="15" l="1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L23" i="15"/>
  <c r="J22" i="15"/>
  <c r="J21" i="15"/>
  <c r="J20" i="15"/>
  <c r="J19" i="15"/>
  <c r="J18" i="15"/>
  <c r="J17" i="15"/>
  <c r="J14" i="15"/>
  <c r="J15" i="15"/>
  <c r="J16" i="15"/>
  <c r="J13" i="15"/>
  <c r="L5" i="15"/>
  <c r="L6" i="15"/>
  <c r="L7" i="15"/>
  <c r="L8" i="15"/>
  <c r="L9" i="15"/>
  <c r="L10" i="15"/>
  <c r="L11" i="15"/>
  <c r="L12" i="15"/>
  <c r="L4" i="15"/>
  <c r="Q29" i="15"/>
  <c r="Q28" i="15"/>
  <c r="Q27" i="15"/>
  <c r="O31" i="15"/>
  <c r="O32" i="15"/>
  <c r="O33" i="15"/>
  <c r="O30" i="15"/>
  <c r="Q26" i="15"/>
  <c r="Q25" i="15"/>
  <c r="Q2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4" i="15"/>
  <c r="J15" i="14"/>
  <c r="J14" i="14"/>
  <c r="J13" i="14"/>
  <c r="J12" i="14"/>
  <c r="J11" i="14"/>
  <c r="J10" i="14"/>
  <c r="J9" i="14"/>
  <c r="J8" i="14"/>
  <c r="J7" i="14"/>
  <c r="J6" i="14"/>
  <c r="J5" i="14"/>
  <c r="J4" i="14"/>
  <c r="B5" i="14"/>
  <c r="B6" i="14"/>
  <c r="B7" i="14"/>
  <c r="B8" i="14"/>
  <c r="B9" i="14"/>
  <c r="B4" i="14"/>
  <c r="G5" i="14"/>
  <c r="G6" i="14"/>
  <c r="G4" i="14"/>
  <c r="W11" i="11"/>
  <c r="W9" i="11"/>
  <c r="U8" i="11"/>
  <c r="V11" i="11"/>
  <c r="U9" i="11"/>
  <c r="T8" i="11"/>
  <c r="T11" i="11"/>
  <c r="T9" i="11"/>
  <c r="U10" i="11"/>
  <c r="V9" i="11"/>
  <c r="U11" i="11"/>
  <c r="T10" i="11"/>
  <c r="AB10" i="11" l="1"/>
  <c r="AB11" i="11"/>
  <c r="AB9" i="11"/>
  <c r="AL13" i="10"/>
  <c r="AI10" i="10"/>
  <c r="AH9" i="10"/>
  <c r="AE9" i="10"/>
  <c r="AE10" i="10"/>
  <c r="AL8" i="10"/>
  <c r="AH5" i="10"/>
  <c r="AI4" i="10"/>
  <c r="AE5" i="10"/>
  <c r="AE4" i="10"/>
  <c r="V18" i="10"/>
  <c r="U17" i="10"/>
  <c r="R18" i="10"/>
  <c r="R17" i="10"/>
  <c r="U14" i="10"/>
  <c r="V13" i="10"/>
  <c r="R14" i="10"/>
  <c r="R13" i="10"/>
  <c r="Z10" i="10"/>
  <c r="Z9" i="10"/>
  <c r="Y7" i="10"/>
  <c r="Y6" i="10"/>
  <c r="C7" i="11"/>
  <c r="AD18" i="10"/>
  <c r="C11" i="11"/>
  <c r="H6" i="11"/>
  <c r="V8" i="11"/>
  <c r="H8" i="11"/>
  <c r="T4" i="11"/>
  <c r="U7" i="11"/>
  <c r="H11" i="11"/>
  <c r="H5" i="11"/>
  <c r="C10" i="11"/>
  <c r="H13" i="11"/>
  <c r="C14" i="11"/>
  <c r="U6" i="11"/>
  <c r="H7" i="11"/>
  <c r="H10" i="11"/>
  <c r="C13" i="11"/>
  <c r="C8" i="11"/>
  <c r="H4" i="11"/>
  <c r="T6" i="11"/>
  <c r="T7" i="11"/>
  <c r="AE17" i="10"/>
  <c r="C4" i="11"/>
  <c r="H12" i="11"/>
  <c r="C12" i="11"/>
  <c r="H9" i="11"/>
  <c r="T5" i="11"/>
  <c r="C15" i="11"/>
  <c r="U5" i="11"/>
  <c r="C5" i="11"/>
  <c r="C9" i="11"/>
  <c r="C6" i="11"/>
  <c r="AE16" i="10"/>
  <c r="W8" i="11"/>
  <c r="AB6" i="11" l="1"/>
  <c r="AB4" i="11"/>
  <c r="AB5" i="11"/>
  <c r="AB7" i="11"/>
  <c r="AB8" i="11"/>
  <c r="J4" i="11"/>
  <c r="J8" i="11"/>
  <c r="J11" i="11"/>
  <c r="J9" i="11"/>
  <c r="J12" i="11"/>
  <c r="J10" i="11"/>
  <c r="J5" i="11"/>
  <c r="J13" i="11"/>
  <c r="J6" i="11"/>
  <c r="J7" i="11"/>
  <c r="D12" i="10"/>
  <c r="D13" i="10"/>
  <c r="D14" i="10"/>
  <c r="D15" i="10"/>
  <c r="D16" i="10"/>
  <c r="D17" i="10"/>
  <c r="D18" i="10"/>
  <c r="D19" i="10"/>
  <c r="D10" i="10"/>
  <c r="D11" i="10"/>
  <c r="D7" i="10"/>
  <c r="D8" i="10"/>
  <c r="D9" i="10"/>
  <c r="D5" i="10"/>
  <c r="D6" i="10"/>
  <c r="D4" i="10"/>
  <c r="I25" i="10"/>
  <c r="I26" i="10"/>
  <c r="I27" i="10"/>
  <c r="H25" i="10"/>
  <c r="H26" i="10"/>
  <c r="H27" i="10"/>
  <c r="I24" i="10"/>
  <c r="H24" i="10"/>
  <c r="I5" i="10"/>
  <c r="I6" i="10"/>
  <c r="I7" i="10"/>
  <c r="I8" i="10"/>
  <c r="I4" i="10"/>
  <c r="C25" i="10"/>
  <c r="C26" i="10"/>
  <c r="C27" i="10"/>
  <c r="C28" i="10"/>
  <c r="C29" i="10"/>
  <c r="C30" i="10"/>
  <c r="C31" i="10"/>
  <c r="C32" i="10"/>
  <c r="C33" i="10"/>
  <c r="C34" i="10"/>
  <c r="C24" i="10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23" i="9"/>
  <c r="W35" i="9"/>
  <c r="N4" i="10"/>
  <c r="U35" i="9"/>
  <c r="S31" i="9"/>
  <c r="U33" i="9"/>
  <c r="S33" i="9"/>
  <c r="I33" i="10"/>
  <c r="R34" i="9"/>
  <c r="I32" i="10"/>
  <c r="U28" i="9"/>
  <c r="I17" i="10"/>
  <c r="I15" i="10"/>
  <c r="R24" i="9"/>
  <c r="S30" i="9"/>
  <c r="X31" i="9"/>
  <c r="I13" i="10"/>
  <c r="T27" i="9"/>
  <c r="W37" i="9"/>
  <c r="I31" i="10"/>
  <c r="H32" i="10"/>
  <c r="S34" i="9"/>
  <c r="U31" i="9"/>
  <c r="S32" i="9"/>
  <c r="T35" i="9"/>
  <c r="T37" i="9"/>
  <c r="R37" i="9"/>
  <c r="S27" i="9"/>
  <c r="W36" i="9"/>
  <c r="R31" i="9"/>
  <c r="N5" i="10"/>
  <c r="U34" i="9"/>
  <c r="T36" i="9"/>
  <c r="V37" i="9"/>
  <c r="T30" i="9"/>
  <c r="U29" i="9"/>
  <c r="T24" i="9"/>
  <c r="R33" i="9"/>
  <c r="T32" i="9"/>
  <c r="X36" i="9"/>
  <c r="M6" i="10"/>
  <c r="S25" i="9"/>
  <c r="T34" i="9"/>
  <c r="R35" i="9"/>
  <c r="S23" i="9"/>
  <c r="R25" i="9"/>
  <c r="V30" i="9"/>
  <c r="T31" i="9"/>
  <c r="R27" i="9"/>
  <c r="T26" i="9"/>
  <c r="T28" i="9"/>
  <c r="S24" i="9"/>
  <c r="T29" i="9"/>
  <c r="S37" i="9"/>
  <c r="U24" i="9"/>
  <c r="S26" i="9"/>
  <c r="S29" i="9"/>
  <c r="V35" i="9"/>
  <c r="R32" i="9"/>
  <c r="R23" i="9"/>
  <c r="R28" i="9"/>
  <c r="I16" i="10"/>
  <c r="R36" i="9"/>
  <c r="W31" i="9"/>
  <c r="S28" i="9"/>
  <c r="H33" i="10"/>
  <c r="X37" i="9"/>
  <c r="V36" i="9"/>
  <c r="M5" i="10"/>
  <c r="R29" i="9"/>
  <c r="S36" i="9"/>
  <c r="H31" i="10"/>
  <c r="U37" i="9"/>
  <c r="V31" i="9"/>
  <c r="S35" i="9"/>
  <c r="U27" i="9"/>
  <c r="U26" i="9"/>
  <c r="T33" i="9"/>
  <c r="R30" i="9"/>
  <c r="U36" i="9"/>
  <c r="U30" i="9"/>
  <c r="T25" i="9"/>
  <c r="N6" i="10"/>
  <c r="R26" i="9"/>
  <c r="I14" i="10"/>
  <c r="I18" i="10"/>
  <c r="V27" i="9"/>
  <c r="M4" i="10"/>
  <c r="O5" i="9" l="1"/>
  <c r="O6" i="9"/>
  <c r="O7" i="9"/>
  <c r="O8" i="9"/>
  <c r="O9" i="9"/>
  <c r="O10" i="9"/>
  <c r="O11" i="9"/>
  <c r="O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4" i="9"/>
  <c r="T11" i="9"/>
  <c r="D5" i="9"/>
  <c r="P6" i="9"/>
  <c r="D15" i="9"/>
  <c r="D9" i="9"/>
  <c r="S10" i="9"/>
  <c r="Q10" i="9"/>
  <c r="P11" i="9"/>
  <c r="S9" i="9"/>
  <c r="S11" i="9"/>
  <c r="P5" i="9"/>
  <c r="R11" i="9"/>
  <c r="Q9" i="9"/>
  <c r="R9" i="9"/>
  <c r="D14" i="9"/>
  <c r="D4" i="9"/>
  <c r="P8" i="9"/>
  <c r="Q8" i="9"/>
  <c r="D17" i="9"/>
  <c r="D10" i="9"/>
  <c r="Q5" i="9"/>
  <c r="P7" i="9"/>
  <c r="R7" i="9"/>
  <c r="D7" i="9"/>
  <c r="S8" i="9"/>
  <c r="Q6" i="9"/>
  <c r="D6" i="9"/>
  <c r="R5" i="9"/>
  <c r="Q11" i="9"/>
  <c r="Q7" i="9"/>
  <c r="P10" i="9"/>
  <c r="R8" i="9"/>
  <c r="R10" i="9"/>
  <c r="P4" i="9"/>
  <c r="Q4" i="9"/>
  <c r="R6" i="9"/>
  <c r="D8" i="9"/>
  <c r="D11" i="9"/>
  <c r="D18" i="9"/>
  <c r="D16" i="9"/>
  <c r="S7" i="9"/>
  <c r="T10" i="9"/>
  <c r="P9" i="9"/>
  <c r="D13" i="9"/>
  <c r="D12" i="9"/>
  <c r="DC29" i="7" l="1"/>
  <c r="DC28" i="7"/>
  <c r="DC27" i="7"/>
  <c r="DC26" i="7"/>
  <c r="DC25" i="7"/>
  <c r="DC24" i="7"/>
  <c r="DC23" i="7"/>
  <c r="DC22" i="7"/>
  <c r="DC21" i="7"/>
  <c r="DC20" i="7"/>
  <c r="DC19" i="7"/>
  <c r="DC18" i="7"/>
  <c r="DC17" i="7"/>
  <c r="DC16" i="7"/>
  <c r="DC15" i="7"/>
  <c r="DC14" i="7"/>
  <c r="DC13" i="7"/>
  <c r="DC12" i="7"/>
  <c r="DC11" i="7"/>
  <c r="DC10" i="7"/>
  <c r="DC9" i="7"/>
  <c r="DC8" i="7"/>
  <c r="DC7" i="7"/>
  <c r="DC6" i="7"/>
  <c r="DC5" i="7"/>
  <c r="DC4" i="7"/>
  <c r="CY19" i="7"/>
  <c r="CY17" i="7"/>
  <c r="CY18" i="7"/>
  <c r="CY15" i="7"/>
  <c r="CY16" i="7"/>
  <c r="CY12" i="7"/>
  <c r="CY13" i="7"/>
  <c r="CY14" i="7"/>
  <c r="CY5" i="7"/>
  <c r="CY6" i="7"/>
  <c r="CY7" i="7"/>
  <c r="CY8" i="7"/>
  <c r="CY9" i="7"/>
  <c r="CY10" i="7"/>
  <c r="CY11" i="7"/>
  <c r="CY20" i="7"/>
  <c r="CY21" i="7"/>
  <c r="CY22" i="7"/>
  <c r="CY23" i="7"/>
  <c r="CY4" i="7"/>
  <c r="E4" i="8"/>
  <c r="J4" i="8"/>
  <c r="O4" i="8"/>
  <c r="X4" i="8"/>
  <c r="AE4" i="8"/>
  <c r="AN4" i="8"/>
  <c r="AS4" i="8"/>
  <c r="AZ4" i="8"/>
  <c r="BE4" i="8"/>
  <c r="BH4" i="8"/>
  <c r="E5" i="8"/>
  <c r="J5" i="8"/>
  <c r="O5" i="8"/>
  <c r="X5" i="8"/>
  <c r="AE5" i="8"/>
  <c r="AN5" i="8"/>
  <c r="AS5" i="8"/>
  <c r="AZ5" i="8"/>
  <c r="BE5" i="8"/>
  <c r="BH5" i="8"/>
  <c r="E6" i="8"/>
  <c r="J6" i="8"/>
  <c r="O6" i="8"/>
  <c r="AE6" i="8"/>
  <c r="AN6" i="8"/>
  <c r="AS6" i="8"/>
  <c r="AZ6" i="8"/>
  <c r="BE6" i="8"/>
  <c r="BH6" i="8"/>
  <c r="E7" i="8"/>
  <c r="J7" i="8"/>
  <c r="O7" i="8"/>
  <c r="X7" i="8"/>
  <c r="AE7" i="8"/>
  <c r="AN7" i="8"/>
  <c r="AS7" i="8"/>
  <c r="AZ7" i="8"/>
  <c r="BE7" i="8"/>
  <c r="BH7" i="8"/>
  <c r="E8" i="8"/>
  <c r="J8" i="8"/>
  <c r="O8" i="8"/>
  <c r="X8" i="8"/>
  <c r="AE8" i="8"/>
  <c r="AN8" i="8"/>
  <c r="AS8" i="8"/>
  <c r="AZ8" i="8"/>
  <c r="BE8" i="8"/>
  <c r="BH8" i="8"/>
  <c r="E9" i="8"/>
  <c r="J9" i="8"/>
  <c r="O9" i="8"/>
  <c r="X9" i="8"/>
  <c r="AE9" i="8"/>
  <c r="AN9" i="8"/>
  <c r="AS9" i="8"/>
  <c r="AZ9" i="8"/>
  <c r="BE9" i="8"/>
  <c r="BH9" i="8"/>
  <c r="E10" i="8"/>
  <c r="J10" i="8"/>
  <c r="O10" i="8"/>
  <c r="X10" i="8"/>
  <c r="AE10" i="8"/>
  <c r="AN10" i="8"/>
  <c r="AS10" i="8"/>
  <c r="AZ10" i="8"/>
  <c r="BE10" i="8"/>
  <c r="BH10" i="8"/>
  <c r="E11" i="8"/>
  <c r="J11" i="8"/>
  <c r="O11" i="8"/>
  <c r="X11" i="8"/>
  <c r="AE11" i="8"/>
  <c r="AN11" i="8"/>
  <c r="AS11" i="8"/>
  <c r="AZ11" i="8"/>
  <c r="BE11" i="8"/>
  <c r="BH11" i="8"/>
  <c r="E12" i="8"/>
  <c r="J12" i="8"/>
  <c r="O12" i="8"/>
  <c r="X12" i="8"/>
  <c r="AE12" i="8"/>
  <c r="AN12" i="8"/>
  <c r="AS12" i="8"/>
  <c r="AZ12" i="8"/>
  <c r="BE12" i="8"/>
  <c r="BH12" i="8"/>
  <c r="E13" i="8"/>
  <c r="J13" i="8"/>
  <c r="O13" i="8"/>
  <c r="X13" i="8"/>
  <c r="AE13" i="8"/>
  <c r="AN13" i="8"/>
  <c r="AS13" i="8"/>
  <c r="AZ13" i="8"/>
  <c r="BE13" i="8"/>
  <c r="BH13" i="8"/>
  <c r="E14" i="8"/>
  <c r="J14" i="8"/>
  <c r="O14" i="8"/>
  <c r="X14" i="8"/>
  <c r="AN14" i="8"/>
  <c r="AS14" i="8"/>
  <c r="AZ14" i="8"/>
  <c r="BE14" i="8"/>
  <c r="BH14" i="8"/>
  <c r="E15" i="8"/>
  <c r="J15" i="8"/>
  <c r="O15" i="8"/>
  <c r="X15" i="8"/>
  <c r="AN15" i="8"/>
  <c r="AS15" i="8"/>
  <c r="AZ15" i="8"/>
  <c r="BE15" i="8"/>
  <c r="BH15" i="8"/>
  <c r="E16" i="8"/>
  <c r="J16" i="8"/>
  <c r="O16" i="8"/>
  <c r="X16" i="8"/>
  <c r="AN16" i="8"/>
  <c r="AS16" i="8"/>
  <c r="AZ16" i="8"/>
  <c r="BE16" i="8"/>
  <c r="E17" i="8"/>
  <c r="J17" i="8"/>
  <c r="O17" i="8"/>
  <c r="X17" i="8"/>
  <c r="AN17" i="8"/>
  <c r="AS17" i="8"/>
  <c r="AZ17" i="8"/>
  <c r="BE17" i="8"/>
  <c r="E18" i="8"/>
  <c r="J18" i="8"/>
  <c r="O18" i="8"/>
  <c r="X18" i="8"/>
  <c r="AN18" i="8"/>
  <c r="AS18" i="8"/>
  <c r="AZ18" i="8"/>
  <c r="BE18" i="8"/>
  <c r="E19" i="8"/>
  <c r="J19" i="8"/>
  <c r="O19" i="8"/>
  <c r="X19" i="8"/>
  <c r="AN19" i="8"/>
  <c r="AS19" i="8"/>
  <c r="AZ19" i="8"/>
  <c r="BE19" i="8"/>
  <c r="J20" i="8"/>
  <c r="O20" i="8"/>
  <c r="X20" i="8"/>
  <c r="AN20" i="8"/>
  <c r="AS20" i="8"/>
  <c r="AZ20" i="8"/>
  <c r="BE20" i="8"/>
  <c r="J21" i="8"/>
  <c r="O21" i="8"/>
  <c r="X21" i="8"/>
  <c r="AN21" i="8"/>
  <c r="AS21" i="8"/>
  <c r="AZ21" i="8"/>
  <c r="BE21" i="8"/>
  <c r="J22" i="8"/>
  <c r="O22" i="8"/>
  <c r="X22" i="8"/>
  <c r="AN22" i="8"/>
  <c r="AZ22" i="8"/>
  <c r="BE22" i="8"/>
  <c r="J23" i="8"/>
  <c r="O23" i="8"/>
  <c r="X23" i="8"/>
  <c r="AN23" i="8"/>
  <c r="AU23" i="8"/>
  <c r="AZ23" i="8"/>
  <c r="BE23" i="8"/>
  <c r="AU24" i="8"/>
  <c r="AU25" i="8"/>
  <c r="AU26" i="8"/>
  <c r="AU27" i="8"/>
  <c r="AU28" i="8"/>
  <c r="AU29" i="8"/>
  <c r="AU30" i="8"/>
  <c r="FB19" i="6" l="1"/>
  <c r="FC19" i="6" s="1"/>
  <c r="FB18" i="6"/>
  <c r="FC18" i="6" s="1"/>
  <c r="FB17" i="6"/>
  <c r="FD17" i="6" s="1"/>
  <c r="FB16" i="6"/>
  <c r="FE16" i="6" s="1"/>
  <c r="FB15" i="6"/>
  <c r="FF15" i="6" s="1"/>
  <c r="FB14" i="6"/>
  <c r="FE14" i="6" s="1"/>
  <c r="FB13" i="6"/>
  <c r="FE13" i="6" s="1"/>
  <c r="FB12" i="6"/>
  <c r="FE12" i="6" s="1"/>
  <c r="FB11" i="6"/>
  <c r="FD11" i="6" s="1"/>
  <c r="FB10" i="6"/>
  <c r="FC10" i="6" s="1"/>
  <c r="FB9" i="6"/>
  <c r="FC9" i="6" s="1"/>
  <c r="FB8" i="6"/>
  <c r="FC8" i="6" s="1"/>
  <c r="FB7" i="6"/>
  <c r="FC7" i="6" s="1"/>
  <c r="FB6" i="6"/>
  <c r="FD6" i="6" s="1"/>
  <c r="FB5" i="6"/>
  <c r="FD5" i="6" s="1"/>
  <c r="FB4" i="6"/>
  <c r="FD4" i="6" s="1"/>
  <c r="EM15" i="6"/>
  <c r="EM16" i="6"/>
  <c r="EK15" i="6"/>
  <c r="EK16" i="6"/>
  <c r="EJ16" i="6"/>
  <c r="EI5" i="6"/>
  <c r="EJ5" i="6" s="1"/>
  <c r="EI6" i="6"/>
  <c r="EK6" i="6" s="1"/>
  <c r="EI7" i="6"/>
  <c r="EJ7" i="6" s="1"/>
  <c r="EI8" i="6"/>
  <c r="EJ8" i="6" s="1"/>
  <c r="EI9" i="6"/>
  <c r="EK9" i="6" s="1"/>
  <c r="EI10" i="6"/>
  <c r="EK10" i="6" s="1"/>
  <c r="EI11" i="6"/>
  <c r="EL11" i="6" s="1"/>
  <c r="EI12" i="6"/>
  <c r="EL12" i="6" s="1"/>
  <c r="EI13" i="6"/>
  <c r="EL13" i="6" s="1"/>
  <c r="EI14" i="6"/>
  <c r="EM14" i="6" s="1"/>
  <c r="EI15" i="6"/>
  <c r="EL15" i="6" s="1"/>
  <c r="EI16" i="6"/>
  <c r="EL16" i="6" s="1"/>
  <c r="EI17" i="6"/>
  <c r="EM17" i="6" s="1"/>
  <c r="EI18" i="6"/>
  <c r="EM18" i="6" s="1"/>
  <c r="EI19" i="6"/>
  <c r="EJ19" i="6" s="1"/>
  <c r="EI20" i="6"/>
  <c r="EJ20" i="6" s="1"/>
  <c r="EI21" i="6"/>
  <c r="EJ21" i="6" s="1"/>
  <c r="EI22" i="6"/>
  <c r="EK22" i="6" s="1"/>
  <c r="EI23" i="6"/>
  <c r="EJ23" i="6" s="1"/>
  <c r="EI4" i="6"/>
  <c r="DX5" i="6"/>
  <c r="DX6" i="6"/>
  <c r="DX11" i="6"/>
  <c r="DV10" i="6"/>
  <c r="DW8" i="6"/>
  <c r="DX8" i="6" s="1"/>
  <c r="DW4" i="6"/>
  <c r="DX4" i="6" s="1"/>
  <c r="DV15" i="6"/>
  <c r="DX15" i="6" s="1"/>
  <c r="DV14" i="6"/>
  <c r="DW14" i="6"/>
  <c r="DW13" i="6"/>
  <c r="DX13" i="6" s="1"/>
  <c r="DW12" i="6"/>
  <c r="DV12" i="6"/>
  <c r="DX12" i="6" s="1"/>
  <c r="DW10" i="6"/>
  <c r="DV9" i="6"/>
  <c r="DX9" i="6" s="1"/>
  <c r="DW7" i="6"/>
  <c r="DX7" i="6" s="1"/>
  <c r="CT33" i="6"/>
  <c r="CV33" i="6" s="1"/>
  <c r="FH5" i="6"/>
  <c r="FH6" i="6"/>
  <c r="FI16" i="6"/>
  <c r="EQ16" i="6"/>
  <c r="EP13" i="6"/>
  <c r="FH17" i="6"/>
  <c r="EN8" i="6"/>
  <c r="EO11" i="6"/>
  <c r="EO7" i="6"/>
  <c r="EN19" i="6"/>
  <c r="EO16" i="6"/>
  <c r="FJ11" i="6"/>
  <c r="EN20" i="6"/>
  <c r="EN7" i="6"/>
  <c r="FI6" i="6"/>
  <c r="FG9" i="6"/>
  <c r="FG19" i="6"/>
  <c r="EP16" i="6"/>
  <c r="EO8" i="6"/>
  <c r="EN11" i="6"/>
  <c r="FG10" i="6"/>
  <c r="FI12" i="6"/>
  <c r="EQ18" i="6"/>
  <c r="EO23" i="6"/>
  <c r="EN16" i="6"/>
  <c r="EO19" i="6"/>
  <c r="EO20" i="6"/>
  <c r="FI19" i="6"/>
  <c r="EP12" i="6"/>
  <c r="EQ17" i="6"/>
  <c r="FG8" i="6"/>
  <c r="FH11" i="6"/>
  <c r="FG7" i="6"/>
  <c r="EO6" i="6"/>
  <c r="FJ13" i="6"/>
  <c r="EO9" i="6"/>
  <c r="EP11" i="6"/>
  <c r="EO10" i="6"/>
  <c r="FJ19" i="6"/>
  <c r="EN21" i="6"/>
  <c r="EO12" i="6"/>
  <c r="EQ15" i="6"/>
  <c r="FH4" i="6"/>
  <c r="FI13" i="6"/>
  <c r="EO22" i="6"/>
  <c r="EP15" i="6"/>
  <c r="FJ15" i="6"/>
  <c r="EN12" i="6"/>
  <c r="FG18" i="6"/>
  <c r="EN5" i="6"/>
  <c r="EQ14" i="6"/>
  <c r="FI14" i="6"/>
  <c r="EO15" i="6"/>
  <c r="EN23" i="6"/>
  <c r="FI8" i="6"/>
  <c r="EK20" i="6" l="1"/>
  <c r="EK8" i="6"/>
  <c r="EJ12" i="6"/>
  <c r="EK19" i="6"/>
  <c r="EK7" i="6"/>
  <c r="EJ11" i="6"/>
  <c r="FE8" i="6"/>
  <c r="FE6" i="6"/>
  <c r="FF13" i="6"/>
  <c r="EK12" i="6"/>
  <c r="DX14" i="6"/>
  <c r="EK23" i="6"/>
  <c r="EK11" i="6"/>
  <c r="FF11" i="6"/>
  <c r="FF12" i="6"/>
  <c r="FE7" i="6"/>
  <c r="FF19" i="6"/>
  <c r="FE19" i="6"/>
  <c r="FD19" i="6"/>
  <c r="FC17" i="6"/>
  <c r="FF17" i="6"/>
  <c r="FC16" i="6"/>
  <c r="FD16" i="6"/>
  <c r="FC12" i="6"/>
  <c r="FD12" i="6"/>
  <c r="FC11" i="6"/>
  <c r="FE9" i="6"/>
  <c r="FD9" i="6"/>
  <c r="FC6" i="6"/>
  <c r="FF14" i="6"/>
  <c r="FC4" i="6"/>
  <c r="FD7" i="6"/>
  <c r="FD10" i="6"/>
  <c r="FE11" i="6"/>
  <c r="FF16" i="6"/>
  <c r="FE17" i="6"/>
  <c r="FD18" i="6"/>
  <c r="FE10" i="6"/>
  <c r="FE18" i="6"/>
  <c r="FF18" i="6"/>
  <c r="FC14" i="6"/>
  <c r="FC5" i="6"/>
  <c r="FD8" i="6"/>
  <c r="FC13" i="6"/>
  <c r="FD14" i="6"/>
  <c r="FC15" i="6"/>
  <c r="FD13" i="6"/>
  <c r="FD15" i="6"/>
  <c r="FE15" i="6"/>
  <c r="EJ18" i="6"/>
  <c r="EJ10" i="6"/>
  <c r="EK21" i="6"/>
  <c r="EK13" i="6"/>
  <c r="EK5" i="6"/>
  <c r="EJ17" i="6"/>
  <c r="EJ9" i="6"/>
  <c r="EL18" i="6"/>
  <c r="EL10" i="6"/>
  <c r="EL9" i="6"/>
  <c r="EJ15" i="6"/>
  <c r="EK18" i="6"/>
  <c r="EL17" i="6"/>
  <c r="EJ22" i="6"/>
  <c r="EJ14" i="6"/>
  <c r="EJ6" i="6"/>
  <c r="EK17" i="6"/>
  <c r="EJ13" i="6"/>
  <c r="EL14" i="6"/>
  <c r="EK14" i="6"/>
  <c r="EJ4" i="6"/>
  <c r="EK4" i="6"/>
  <c r="DX10" i="6"/>
  <c r="CU33" i="6"/>
  <c r="CN33" i="6"/>
  <c r="CT32" i="6"/>
  <c r="CV32" i="6" s="1"/>
  <c r="FI9" i="6"/>
  <c r="FH8" i="6"/>
  <c r="EP9" i="6"/>
  <c r="FH14" i="6"/>
  <c r="FG15" i="6"/>
  <c r="EO13" i="6"/>
  <c r="EN15" i="6"/>
  <c r="FG6" i="6"/>
  <c r="EN14" i="6"/>
  <c r="FH9" i="6"/>
  <c r="FJ12" i="6"/>
  <c r="FG14" i="6"/>
  <c r="EP17" i="6"/>
  <c r="EN10" i="6"/>
  <c r="FH7" i="6"/>
  <c r="EO18" i="6"/>
  <c r="EN22" i="6"/>
  <c r="FI15" i="6"/>
  <c r="CO32" i="6"/>
  <c r="FJ18" i="6"/>
  <c r="FI7" i="6"/>
  <c r="FH15" i="6"/>
  <c r="FI17" i="6"/>
  <c r="EP10" i="6"/>
  <c r="FI18" i="6"/>
  <c r="EO5" i="6"/>
  <c r="EN6" i="6"/>
  <c r="EN17" i="6"/>
  <c r="CJ32" i="6"/>
  <c r="CJ33" i="6"/>
  <c r="FH16" i="6"/>
  <c r="FH19" i="6"/>
  <c r="FJ16" i="6"/>
  <c r="FH18" i="6"/>
  <c r="EO17" i="6"/>
  <c r="FG16" i="6"/>
  <c r="CI32" i="6"/>
  <c r="EN9" i="6"/>
  <c r="EO4" i="6"/>
  <c r="FG17" i="6"/>
  <c r="CI33" i="6"/>
  <c r="FH13" i="6"/>
  <c r="EN13" i="6"/>
  <c r="FG4" i="6"/>
  <c r="FG13" i="6"/>
  <c r="EO14" i="6"/>
  <c r="EN18" i="6"/>
  <c r="FG11" i="6"/>
  <c r="EP18" i="6"/>
  <c r="CW33" i="6"/>
  <c r="FG5" i="6"/>
  <c r="FJ17" i="6"/>
  <c r="FI11" i="6"/>
  <c r="FH12" i="6"/>
  <c r="FI10" i="6"/>
  <c r="FJ14" i="6"/>
  <c r="FG12" i="6"/>
  <c r="EP14" i="6"/>
  <c r="EO21" i="6"/>
  <c r="EN4" i="6"/>
  <c r="CO33" i="6"/>
  <c r="FH10" i="6"/>
  <c r="CU32" i="6" l="1"/>
  <c r="CT31" i="6"/>
  <c r="CV31" i="6" s="1"/>
  <c r="CW32" i="6"/>
  <c r="CU31" i="6" l="1"/>
  <c r="CN31" i="6"/>
  <c r="CL31" i="6"/>
  <c r="CT30" i="6"/>
  <c r="CV30" i="6" s="1"/>
  <c r="CI31" i="6"/>
  <c r="CW31" i="6"/>
  <c r="CJ30" i="6"/>
  <c r="CO31" i="6"/>
  <c r="CI30" i="6"/>
  <c r="CO30" i="6"/>
  <c r="CJ31" i="6"/>
  <c r="CU30" i="6" l="1"/>
  <c r="CT29" i="6"/>
  <c r="CV29" i="6" s="1"/>
  <c r="CW30" i="6"/>
  <c r="CU29" i="6" l="1"/>
  <c r="CN29" i="6"/>
  <c r="CM29" i="6"/>
  <c r="CT28" i="6"/>
  <c r="CV28" i="6" s="1"/>
  <c r="CO29" i="6"/>
  <c r="CW29" i="6"/>
  <c r="CJ29" i="6"/>
  <c r="CI29" i="6"/>
  <c r="CU28" i="6" l="1"/>
  <c r="CN28" i="6"/>
  <c r="CM28" i="6"/>
  <c r="Y28" i="6"/>
  <c r="CT27" i="6"/>
  <c r="CV27" i="6" s="1"/>
  <c r="CO28" i="6"/>
  <c r="CO27" i="6"/>
  <c r="X28" i="6"/>
  <c r="CW28" i="6"/>
  <c r="CI27" i="6"/>
  <c r="CJ27" i="6"/>
  <c r="CI28" i="6"/>
  <c r="CJ28" i="6"/>
  <c r="CU27" i="6" l="1"/>
  <c r="Y27" i="6"/>
  <c r="CT26" i="6"/>
  <c r="CV26" i="6" s="1"/>
  <c r="X27" i="6"/>
  <c r="CW27" i="6"/>
  <c r="CU26" i="6" l="1"/>
  <c r="CN26" i="6"/>
  <c r="Y26" i="6"/>
  <c r="CT25" i="6"/>
  <c r="CV25" i="6" s="1"/>
  <c r="CW26" i="6"/>
  <c r="X26" i="6"/>
  <c r="CI26" i="6"/>
  <c r="CJ26" i="6"/>
  <c r="CO26" i="6"/>
  <c r="CU25" i="6" l="1"/>
  <c r="CN25" i="6"/>
  <c r="CM25" i="6"/>
  <c r="Y25" i="6"/>
  <c r="CT24" i="6"/>
  <c r="CV24" i="6" s="1"/>
  <c r="X25" i="6"/>
  <c r="CW25" i="6"/>
  <c r="CI25" i="6"/>
  <c r="CO25" i="6"/>
  <c r="CJ25" i="6"/>
  <c r="CU24" i="6" l="1"/>
  <c r="CN24" i="6"/>
  <c r="Y24" i="6"/>
  <c r="CT23" i="6"/>
  <c r="CV23" i="6" s="1"/>
  <c r="CI24" i="6"/>
  <c r="CJ24" i="6"/>
  <c r="BA23" i="6"/>
  <c r="AI23" i="6"/>
  <c r="AT23" i="6"/>
  <c r="BP23" i="6"/>
  <c r="CJ23" i="6"/>
  <c r="X24" i="6"/>
  <c r="CO24" i="6"/>
  <c r="CO23" i="6"/>
  <c r="BW23" i="6"/>
  <c r="CW24" i="6"/>
  <c r="AU23" i="6"/>
  <c r="AD23" i="6"/>
  <c r="CI23" i="6"/>
  <c r="BO23" i="6"/>
  <c r="BB23" i="6"/>
  <c r="BV23" i="6"/>
  <c r="CU23" i="6" l="1"/>
  <c r="Y23" i="6"/>
  <c r="S23" i="6"/>
  <c r="L23" i="6"/>
  <c r="E23" i="6"/>
  <c r="CT22" i="6"/>
  <c r="CV22" i="6" s="1"/>
  <c r="AT22" i="6"/>
  <c r="BO22" i="6"/>
  <c r="BW22" i="6"/>
  <c r="AU22" i="6"/>
  <c r="BB22" i="6"/>
  <c r="CO22" i="6"/>
  <c r="BA22" i="6"/>
  <c r="CI22" i="6"/>
  <c r="AI22" i="6"/>
  <c r="F23" i="6"/>
  <c r="CW23" i="6"/>
  <c r="X23" i="6"/>
  <c r="BP22" i="6"/>
  <c r="BV22" i="6"/>
  <c r="CJ22" i="6"/>
  <c r="M23" i="6"/>
  <c r="R23" i="6"/>
  <c r="AD22" i="6"/>
  <c r="CU22" i="6" l="1"/>
  <c r="Y22" i="6"/>
  <c r="S22" i="6"/>
  <c r="L22" i="6"/>
  <c r="E22" i="6"/>
  <c r="CT21" i="6"/>
  <c r="CV21" i="6" s="1"/>
  <c r="CW22" i="6"/>
  <c r="CJ21" i="6"/>
  <c r="R22" i="6"/>
  <c r="M22" i="6"/>
  <c r="X22" i="6"/>
  <c r="BP21" i="6"/>
  <c r="BA21" i="6"/>
  <c r="BB21" i="6"/>
  <c r="BO21" i="6"/>
  <c r="CI21" i="6"/>
  <c r="AD21" i="6"/>
  <c r="AT21" i="6"/>
  <c r="F22" i="6"/>
  <c r="CO21" i="6"/>
  <c r="BW21" i="6"/>
  <c r="AI21" i="6"/>
  <c r="BV21" i="6"/>
  <c r="AU21" i="6"/>
  <c r="CU21" i="6" l="1"/>
  <c r="Y21" i="6"/>
  <c r="S21" i="6"/>
  <c r="L21" i="6"/>
  <c r="E21" i="6"/>
  <c r="CT20" i="6"/>
  <c r="CV20" i="6" s="1"/>
  <c r="M21" i="6"/>
  <c r="R21" i="6"/>
  <c r="X21" i="6"/>
  <c r="CW21" i="6"/>
  <c r="F21" i="6"/>
  <c r="CU20" i="6" l="1"/>
  <c r="CM20" i="6"/>
  <c r="Y20" i="6"/>
  <c r="S20" i="6"/>
  <c r="L20" i="6"/>
  <c r="E20" i="6"/>
  <c r="CT19" i="6"/>
  <c r="CV19" i="6" s="1"/>
  <c r="AT19" i="6"/>
  <c r="AD19" i="6"/>
  <c r="BW19" i="6"/>
  <c r="BA20" i="6"/>
  <c r="AI20" i="6"/>
  <c r="BV20" i="6"/>
  <c r="CO19" i="6"/>
  <c r="AI19" i="6"/>
  <c r="F20" i="6"/>
  <c r="BA19" i="6"/>
  <c r="CW20" i="6"/>
  <c r="AT20" i="6"/>
  <c r="BP20" i="6"/>
  <c r="CJ19" i="6"/>
  <c r="AD20" i="6"/>
  <c r="BV19" i="6"/>
  <c r="X20" i="6"/>
  <c r="BO20" i="6"/>
  <c r="M20" i="6"/>
  <c r="BW20" i="6"/>
  <c r="CJ20" i="6"/>
  <c r="BO19" i="6"/>
  <c r="BB19" i="6"/>
  <c r="R20" i="6"/>
  <c r="AU19" i="6"/>
  <c r="CI19" i="6"/>
  <c r="BP19" i="6"/>
  <c r="BB20" i="6"/>
  <c r="CO20" i="6"/>
  <c r="CI20" i="6"/>
  <c r="AU20" i="6"/>
  <c r="CU19" i="6" l="1"/>
  <c r="Y19" i="6"/>
  <c r="S19" i="6"/>
  <c r="L19" i="6"/>
  <c r="E19" i="6"/>
  <c r="CT18" i="6"/>
  <c r="CV18" i="6" s="1"/>
  <c r="M19" i="6"/>
  <c r="R19" i="6"/>
  <c r="F19" i="6"/>
  <c r="X19" i="6"/>
  <c r="CW19" i="6"/>
  <c r="CU18" i="6" l="1"/>
  <c r="CN18" i="6"/>
  <c r="Y18" i="6"/>
  <c r="S18" i="6"/>
  <c r="L18" i="6"/>
  <c r="E18" i="6"/>
  <c r="CT17" i="6"/>
  <c r="CV17" i="6" s="1"/>
  <c r="BO18" i="6"/>
  <c r="F18" i="6"/>
  <c r="AD18" i="6"/>
  <c r="CW18" i="6"/>
  <c r="X18" i="6"/>
  <c r="M18" i="6"/>
  <c r="BB18" i="6"/>
  <c r="AT18" i="6"/>
  <c r="AU18" i="6"/>
  <c r="CI18" i="6"/>
  <c r="CO18" i="6"/>
  <c r="BP18" i="6"/>
  <c r="AI18" i="6"/>
  <c r="R18" i="6"/>
  <c r="BV18" i="6"/>
  <c r="CJ18" i="6"/>
  <c r="BW18" i="6"/>
  <c r="BA18" i="6"/>
  <c r="CU17" i="6" l="1"/>
  <c r="CN17" i="6"/>
  <c r="CM17" i="6"/>
  <c r="Y17" i="6"/>
  <c r="S17" i="6"/>
  <c r="L17" i="6"/>
  <c r="E17" i="6"/>
  <c r="CT16" i="6"/>
  <c r="CV16" i="6" s="1"/>
  <c r="CJ16" i="6"/>
  <c r="BW17" i="6"/>
  <c r="BO17" i="6"/>
  <c r="BB16" i="6"/>
  <c r="AD16" i="6"/>
  <c r="CC16" i="6"/>
  <c r="CC17" i="6"/>
  <c r="BI16" i="6"/>
  <c r="AT17" i="6"/>
  <c r="CJ17" i="6"/>
  <c r="AD17" i="6"/>
  <c r="BB17" i="6"/>
  <c r="CW17" i="6"/>
  <c r="BA16" i="6"/>
  <c r="M17" i="6"/>
  <c r="AN17" i="6"/>
  <c r="AT16" i="6"/>
  <c r="F17" i="6"/>
  <c r="BW16" i="6"/>
  <c r="BP16" i="6"/>
  <c r="BH16" i="6"/>
  <c r="AI17" i="6"/>
  <c r="CD17" i="6"/>
  <c r="AI16" i="6"/>
  <c r="CI16" i="6"/>
  <c r="BV17" i="6"/>
  <c r="R17" i="6"/>
  <c r="BV16" i="6"/>
  <c r="AN16" i="6"/>
  <c r="BH17" i="6"/>
  <c r="BP17" i="6"/>
  <c r="CO16" i="6"/>
  <c r="BO16" i="6"/>
  <c r="CD16" i="6"/>
  <c r="AU16" i="6"/>
  <c r="CI17" i="6"/>
  <c r="AU17" i="6"/>
  <c r="BA17" i="6"/>
  <c r="BI17" i="6"/>
  <c r="X17" i="6"/>
  <c r="CO17" i="6"/>
  <c r="CU16" i="6" l="1"/>
  <c r="Y16" i="6"/>
  <c r="S16" i="6"/>
  <c r="L16" i="6"/>
  <c r="E16" i="6"/>
  <c r="CT15" i="6"/>
  <c r="CU15" i="6" s="1"/>
  <c r="BW15" i="6"/>
  <c r="AT15" i="6"/>
  <c r="DO15" i="6"/>
  <c r="CC15" i="6"/>
  <c r="DN15" i="6"/>
  <c r="BB15" i="6"/>
  <c r="AN15" i="6"/>
  <c r="AI15" i="6"/>
  <c r="DL15" i="6"/>
  <c r="CO15" i="6"/>
  <c r="F16" i="6"/>
  <c r="CD15" i="6"/>
  <c r="BV15" i="6"/>
  <c r="DJ15" i="6"/>
  <c r="CW16" i="6"/>
  <c r="AD15" i="6"/>
  <c r="BO15" i="6"/>
  <c r="BP15" i="6"/>
  <c r="R16" i="6"/>
  <c r="DQ15" i="6"/>
  <c r="DS15" i="6"/>
  <c r="BI15" i="6"/>
  <c r="DR15" i="6"/>
  <c r="X16" i="6"/>
  <c r="DM15" i="6"/>
  <c r="DK15" i="6"/>
  <c r="DP15" i="6"/>
  <c r="AU15" i="6"/>
  <c r="CI15" i="6"/>
  <c r="BA15" i="6"/>
  <c r="M16" i="6"/>
  <c r="BH15" i="6"/>
  <c r="CJ15" i="6"/>
  <c r="CV15" i="6" l="1"/>
  <c r="Y15" i="6"/>
  <c r="S15" i="6"/>
  <c r="L15" i="6"/>
  <c r="E15" i="6"/>
  <c r="CT14" i="6"/>
  <c r="CV14" i="6" s="1"/>
  <c r="DJ14" i="6"/>
  <c r="DM14" i="6"/>
  <c r="DP14" i="6"/>
  <c r="DS14" i="6"/>
  <c r="DO14" i="6"/>
  <c r="CW15" i="6"/>
  <c r="M15" i="6"/>
  <c r="F15" i="6"/>
  <c r="DQ14" i="6"/>
  <c r="DL14" i="6"/>
  <c r="R15" i="6"/>
  <c r="DK14" i="6"/>
  <c r="DN14" i="6"/>
  <c r="X15" i="6"/>
  <c r="DR14" i="6"/>
  <c r="CU14" i="6" l="1"/>
  <c r="CN14" i="6"/>
  <c r="CM14" i="6"/>
  <c r="Y14" i="6"/>
  <c r="S14" i="6"/>
  <c r="L14" i="6"/>
  <c r="E14" i="6"/>
  <c r="CT13" i="6"/>
  <c r="CV13" i="6" s="1"/>
  <c r="CD14" i="6"/>
  <c r="CI14" i="6"/>
  <c r="BP13" i="6"/>
  <c r="BV14" i="6"/>
  <c r="DR13" i="6"/>
  <c r="BB13" i="6"/>
  <c r="BI14" i="6"/>
  <c r="CO14" i="6"/>
  <c r="BB14" i="6"/>
  <c r="DK13" i="6"/>
  <c r="AT14" i="6"/>
  <c r="DL13" i="6"/>
  <c r="AN13" i="6"/>
  <c r="DJ13" i="6"/>
  <c r="DS13" i="6"/>
  <c r="CI13" i="6"/>
  <c r="AI14" i="6"/>
  <c r="M14" i="6"/>
  <c r="BO13" i="6"/>
  <c r="BO14" i="6"/>
  <c r="CD13" i="6"/>
  <c r="AU14" i="6"/>
  <c r="BI13" i="6"/>
  <c r="AD14" i="6"/>
  <c r="BH13" i="6"/>
  <c r="AT13" i="6"/>
  <c r="DQ13" i="6"/>
  <c r="CW14" i="6"/>
  <c r="DO13" i="6"/>
  <c r="AU13" i="6"/>
  <c r="BA13" i="6"/>
  <c r="BW13" i="6"/>
  <c r="CO13" i="6"/>
  <c r="CJ14" i="6"/>
  <c r="R14" i="6"/>
  <c r="CC13" i="6"/>
  <c r="AN14" i="6"/>
  <c r="BA14" i="6"/>
  <c r="BV13" i="6"/>
  <c r="BW14" i="6"/>
  <c r="AI13" i="6"/>
  <c r="DP13" i="6"/>
  <c r="AD13" i="6"/>
  <c r="DM13" i="6"/>
  <c r="DN13" i="6"/>
  <c r="BH14" i="6"/>
  <c r="F14" i="6"/>
  <c r="CJ13" i="6"/>
  <c r="CC14" i="6"/>
  <c r="X14" i="6"/>
  <c r="BP14" i="6"/>
  <c r="CU13" i="6" l="1"/>
  <c r="Y13" i="6"/>
  <c r="S13" i="6"/>
  <c r="L13" i="6"/>
  <c r="E13" i="6"/>
  <c r="CT12" i="6"/>
  <c r="CV12" i="6" s="1"/>
  <c r="AU12" i="6"/>
  <c r="AT12" i="6"/>
  <c r="R13" i="6"/>
  <c r="M13" i="6"/>
  <c r="BI12" i="6"/>
  <c r="DK12" i="6"/>
  <c r="AI12" i="6"/>
  <c r="DP12" i="6"/>
  <c r="BH12" i="6"/>
  <c r="DJ12" i="6"/>
  <c r="CO12" i="6"/>
  <c r="BW12" i="6"/>
  <c r="DQ12" i="6"/>
  <c r="DR12" i="6"/>
  <c r="DM12" i="6"/>
  <c r="BA12" i="6"/>
  <c r="DL12" i="6"/>
  <c r="CI12" i="6"/>
  <c r="F13" i="6"/>
  <c r="BB12" i="6"/>
  <c r="CJ12" i="6"/>
  <c r="CD12" i="6"/>
  <c r="CW13" i="6"/>
  <c r="AN12" i="6"/>
  <c r="CC12" i="6"/>
  <c r="AD12" i="6"/>
  <c r="DO12" i="6"/>
  <c r="X13" i="6"/>
  <c r="BV12" i="6"/>
  <c r="BP12" i="6"/>
  <c r="BO12" i="6"/>
  <c r="CU12" i="6" l="1"/>
  <c r="Y12" i="6"/>
  <c r="S12" i="6"/>
  <c r="L12" i="6"/>
  <c r="E12" i="6"/>
  <c r="CT11" i="6"/>
  <c r="CV11" i="6" s="1"/>
  <c r="DO11" i="6"/>
  <c r="F12" i="6"/>
  <c r="M12" i="6"/>
  <c r="DL11" i="6"/>
  <c r="R12" i="6"/>
  <c r="CW12" i="6"/>
  <c r="DQ11" i="6"/>
  <c r="DK11" i="6"/>
  <c r="DM11" i="6"/>
  <c r="DR11" i="6"/>
  <c r="X12" i="6"/>
  <c r="DJ11" i="6"/>
  <c r="DP11" i="6"/>
  <c r="CU11" i="6" l="1"/>
  <c r="CN11" i="6"/>
  <c r="Y11" i="6"/>
  <c r="S11" i="6"/>
  <c r="L11" i="6"/>
  <c r="E11" i="6"/>
  <c r="CT10" i="6"/>
  <c r="CV10" i="6" s="1"/>
  <c r="BO11" i="6"/>
  <c r="R11" i="6"/>
  <c r="AN11" i="6"/>
  <c r="AU11" i="6"/>
  <c r="DK10" i="6"/>
  <c r="BA11" i="6"/>
  <c r="CJ11" i="6"/>
  <c r="CI11" i="6"/>
  <c r="DP10" i="6"/>
  <c r="AD11" i="6"/>
  <c r="BI11" i="6"/>
  <c r="CC11" i="6"/>
  <c r="BP11" i="6"/>
  <c r="AI11" i="6"/>
  <c r="DL10" i="6"/>
  <c r="BH11" i="6"/>
  <c r="X11" i="6"/>
  <c r="CO11" i="6"/>
  <c r="CW11" i="6"/>
  <c r="DJ10" i="6"/>
  <c r="CD11" i="6"/>
  <c r="DO10" i="6"/>
  <c r="DQ10" i="6"/>
  <c r="BV11" i="6"/>
  <c r="AT11" i="6"/>
  <c r="BW11" i="6"/>
  <c r="F11" i="6"/>
  <c r="M11" i="6"/>
  <c r="BB11" i="6"/>
  <c r="CU10" i="6" l="1"/>
  <c r="CM10" i="6"/>
  <c r="Y10" i="6"/>
  <c r="S10" i="6"/>
  <c r="L10" i="6"/>
  <c r="E10" i="6"/>
  <c r="CT9" i="6"/>
  <c r="CV9" i="6" s="1"/>
  <c r="AD9" i="6"/>
  <c r="AU9" i="6"/>
  <c r="AD10" i="6"/>
  <c r="BB10" i="6"/>
  <c r="BI9" i="6"/>
  <c r="CI10" i="6"/>
  <c r="CW10" i="6"/>
  <c r="BV10" i="6"/>
  <c r="BO10" i="6"/>
  <c r="BW10" i="6"/>
  <c r="CD10" i="6"/>
  <c r="CO10" i="6"/>
  <c r="BB9" i="6"/>
  <c r="DP9" i="6"/>
  <c r="AU10" i="6"/>
  <c r="CC10" i="6"/>
  <c r="BW9" i="6"/>
  <c r="AI9" i="6"/>
  <c r="X10" i="6"/>
  <c r="BA10" i="6"/>
  <c r="BA9" i="6"/>
  <c r="AI10" i="6"/>
  <c r="CC9" i="6"/>
  <c r="R10" i="6"/>
  <c r="M10" i="6"/>
  <c r="BP10" i="6"/>
  <c r="BH9" i="6"/>
  <c r="AT9" i="6"/>
  <c r="CI9" i="6"/>
  <c r="BH10" i="6"/>
  <c r="AN10" i="6"/>
  <c r="F10" i="6"/>
  <c r="DK9" i="6"/>
  <c r="CD9" i="6"/>
  <c r="BO9" i="6"/>
  <c r="CO9" i="6"/>
  <c r="BP9" i="6"/>
  <c r="AN9" i="6"/>
  <c r="BV9" i="6"/>
  <c r="DJ9" i="6"/>
  <c r="DL9" i="6"/>
  <c r="BI10" i="6"/>
  <c r="AT10" i="6"/>
  <c r="DQ9" i="6"/>
  <c r="CJ9" i="6"/>
  <c r="CJ10" i="6"/>
  <c r="DO9" i="6"/>
  <c r="CU9" i="6" l="1"/>
  <c r="Y9" i="6"/>
  <c r="S9" i="6"/>
  <c r="L9" i="6"/>
  <c r="E9" i="6"/>
  <c r="CT8" i="6"/>
  <c r="CV8" i="6" s="1"/>
  <c r="DP8" i="6"/>
  <c r="DO8" i="6"/>
  <c r="CJ8" i="6"/>
  <c r="AI8" i="6"/>
  <c r="BB8" i="6"/>
  <c r="R9" i="6"/>
  <c r="AT8" i="6"/>
  <c r="F9" i="6"/>
  <c r="BH8" i="6"/>
  <c r="CO8" i="6"/>
  <c r="BP8" i="6"/>
  <c r="CW9" i="6"/>
  <c r="X9" i="6"/>
  <c r="AN8" i="6"/>
  <c r="CC8" i="6"/>
  <c r="DQ8" i="6"/>
  <c r="AU8" i="6"/>
  <c r="CI8" i="6"/>
  <c r="BW8" i="6"/>
  <c r="DL8" i="6"/>
  <c r="BO8" i="6"/>
  <c r="CD8" i="6"/>
  <c r="M9" i="6"/>
  <c r="BV8" i="6"/>
  <c r="DJ8" i="6"/>
  <c r="AD8" i="6"/>
  <c r="BA8" i="6"/>
  <c r="BI8" i="6"/>
  <c r="DK8" i="6"/>
  <c r="CU8" i="6" l="1"/>
  <c r="Y8" i="6"/>
  <c r="S8" i="6"/>
  <c r="L8" i="6"/>
  <c r="E8" i="6"/>
  <c r="CT7" i="6"/>
  <c r="CV7" i="6" s="1"/>
  <c r="CW8" i="6"/>
  <c r="DO7" i="6"/>
  <c r="CD7" i="6"/>
  <c r="BO7" i="6"/>
  <c r="BV7" i="6"/>
  <c r="R8" i="6"/>
  <c r="BH7" i="6"/>
  <c r="DP7" i="6"/>
  <c r="AN7" i="6"/>
  <c r="CO7" i="6"/>
  <c r="X8" i="6"/>
  <c r="DK7" i="6"/>
  <c r="AD7" i="6"/>
  <c r="CJ7" i="6"/>
  <c r="AI7" i="6"/>
  <c r="BI7" i="6"/>
  <c r="BA7" i="6"/>
  <c r="CC7" i="6"/>
  <c r="BP7" i="6"/>
  <c r="AT7" i="6"/>
  <c r="DJ7" i="6"/>
  <c r="F8" i="6"/>
  <c r="M8" i="6"/>
  <c r="BB7" i="6"/>
  <c r="CI7" i="6"/>
  <c r="AU7" i="6"/>
  <c r="BW7" i="6"/>
  <c r="CU7" i="6" l="1"/>
  <c r="Y7" i="6"/>
  <c r="S7" i="6"/>
  <c r="L7" i="6"/>
  <c r="E7" i="6"/>
  <c r="CT6" i="6"/>
  <c r="CV6" i="6" s="1"/>
  <c r="X7" i="6"/>
  <c r="M7" i="6"/>
  <c r="CW7" i="6"/>
  <c r="DO6" i="6"/>
  <c r="DJ6" i="6"/>
  <c r="DP6" i="6"/>
  <c r="R7" i="6"/>
  <c r="DK6" i="6"/>
  <c r="F7" i="6"/>
  <c r="CU6" i="6" l="1"/>
  <c r="CN6" i="6"/>
  <c r="CM6" i="6"/>
  <c r="Y6" i="6"/>
  <c r="S6" i="6"/>
  <c r="L6" i="6"/>
  <c r="E6" i="6"/>
  <c r="CT5" i="6"/>
  <c r="CV5" i="6" s="1"/>
  <c r="AT6" i="6"/>
  <c r="R6" i="6"/>
  <c r="DJ5" i="6"/>
  <c r="DP5" i="6"/>
  <c r="AD6" i="6"/>
  <c r="CI5" i="6"/>
  <c r="BO6" i="6"/>
  <c r="BP5" i="6"/>
  <c r="AT5" i="6"/>
  <c r="BH6" i="6"/>
  <c r="BB5" i="6"/>
  <c r="CC6" i="6"/>
  <c r="BH5" i="6"/>
  <c r="BA5" i="6"/>
  <c r="AI5" i="6"/>
  <c r="CJ5" i="6"/>
  <c r="BW5" i="6"/>
  <c r="CD5" i="6"/>
  <c r="BI5" i="6"/>
  <c r="CO6" i="6"/>
  <c r="AU5" i="6"/>
  <c r="AN5" i="6"/>
  <c r="BP6" i="6"/>
  <c r="DO5" i="6"/>
  <c r="CC5" i="6"/>
  <c r="AI6" i="6"/>
  <c r="CI6" i="6"/>
  <c r="DK5" i="6"/>
  <c r="F6" i="6"/>
  <c r="BV6" i="6"/>
  <c r="BV5" i="6"/>
  <c r="BA6" i="6"/>
  <c r="CD6" i="6"/>
  <c r="BB6" i="6"/>
  <c r="CW6" i="6"/>
  <c r="AN6" i="6"/>
  <c r="CO5" i="6"/>
  <c r="M6" i="6"/>
  <c r="X6" i="6"/>
  <c r="BW6" i="6"/>
  <c r="AU6" i="6"/>
  <c r="AD5" i="6"/>
  <c r="CJ6" i="6"/>
  <c r="BI6" i="6"/>
  <c r="BO5" i="6"/>
  <c r="CU5" i="6" l="1"/>
  <c r="Y5" i="6"/>
  <c r="S5" i="6"/>
  <c r="L5" i="6"/>
  <c r="E5" i="6"/>
  <c r="CT4" i="6"/>
  <c r="CV4" i="6" s="1"/>
  <c r="M5" i="6"/>
  <c r="X5" i="6"/>
  <c r="DO4" i="6"/>
  <c r="DK4" i="6"/>
  <c r="R5" i="6"/>
  <c r="CW5" i="6"/>
  <c r="DJ4" i="6"/>
  <c r="F5" i="6"/>
  <c r="DP4" i="6"/>
  <c r="CU4" i="6" l="1"/>
  <c r="CN4" i="6"/>
  <c r="Y4" i="6"/>
  <c r="S4" i="6"/>
  <c r="L4" i="6"/>
  <c r="E4" i="6"/>
  <c r="CJ4" i="6"/>
  <c r="CD4" i="6"/>
  <c r="AI4" i="6"/>
  <c r="CI4" i="6"/>
  <c r="BB4" i="6"/>
  <c r="BH4" i="6"/>
  <c r="BP4" i="6"/>
  <c r="BO4" i="6"/>
  <c r="BA4" i="6"/>
  <c r="CW4" i="6"/>
  <c r="M4" i="6"/>
  <c r="X4" i="6"/>
  <c r="F4" i="6"/>
  <c r="AD4" i="6"/>
  <c r="AN4" i="6"/>
  <c r="BI4" i="6"/>
  <c r="AT4" i="6"/>
  <c r="R4" i="6"/>
  <c r="BW4" i="6"/>
  <c r="CO4" i="6"/>
  <c r="AU4" i="6"/>
  <c r="BV4" i="6"/>
  <c r="CC4" i="6"/>
  <c r="AL23" i="5" l="1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 l="1"/>
  <c r="AL4" i="5"/>
  <c r="X5" i="5" l="1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4" i="5"/>
  <c r="P31" i="5"/>
  <c r="P30" i="5"/>
  <c r="O29" i="5"/>
  <c r="O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4" i="5"/>
  <c r="AF4" i="5"/>
  <c r="AI10" i="5"/>
  <c r="AH15" i="5"/>
  <c r="AI23" i="5"/>
  <c r="AI21" i="5"/>
  <c r="AI8" i="5"/>
  <c r="AH13" i="5"/>
  <c r="AH7" i="5"/>
  <c r="AF13" i="5"/>
  <c r="AI9" i="5"/>
  <c r="AG4" i="5"/>
  <c r="AG16" i="5"/>
  <c r="AF20" i="5"/>
  <c r="AG21" i="5"/>
  <c r="AI13" i="5"/>
  <c r="AH21" i="5"/>
  <c r="AH10" i="5"/>
  <c r="AF22" i="5"/>
  <c r="AG8" i="5"/>
  <c r="AI16" i="5"/>
  <c r="AI15" i="5"/>
  <c r="AF5" i="5"/>
  <c r="AI18" i="5"/>
  <c r="AH16" i="5"/>
  <c r="AI11" i="5"/>
  <c r="AH17" i="5"/>
  <c r="AG9" i="5"/>
  <c r="AF9" i="5"/>
  <c r="AF19" i="5"/>
  <c r="AF15" i="5"/>
  <c r="AI20" i="5"/>
  <c r="AF23" i="5"/>
  <c r="AH12" i="5"/>
  <c r="AG20" i="5"/>
  <c r="AH11" i="5"/>
  <c r="AI14" i="5"/>
  <c r="AG11" i="5"/>
  <c r="AF7" i="5"/>
  <c r="AH22" i="5"/>
  <c r="AH14" i="5"/>
  <c r="AF16" i="5"/>
  <c r="AG14" i="5"/>
  <c r="AH6" i="5"/>
  <c r="AH8" i="5"/>
  <c r="AG18" i="5"/>
  <c r="AG6" i="5"/>
  <c r="AG5" i="5"/>
  <c r="AJ23" i="5"/>
  <c r="AG12" i="5"/>
  <c r="AG7" i="5"/>
  <c r="AG17" i="5"/>
  <c r="AJ18" i="5"/>
  <c r="AI22" i="5"/>
  <c r="AG23" i="5"/>
  <c r="AF17" i="5"/>
  <c r="AH19" i="5"/>
  <c r="AH18" i="5"/>
  <c r="AF10" i="5"/>
  <c r="AG15" i="5"/>
  <c r="AI17" i="5"/>
  <c r="AF21" i="5"/>
  <c r="AF8" i="5"/>
  <c r="AH20" i="5"/>
  <c r="AJ9" i="5"/>
  <c r="AF12" i="5"/>
  <c r="AG13" i="5"/>
  <c r="AG22" i="5"/>
  <c r="AF11" i="5"/>
  <c r="AH9" i="5"/>
  <c r="AF18" i="5"/>
  <c r="AG19" i="5"/>
  <c r="AI12" i="5"/>
  <c r="AH23" i="5"/>
  <c r="AF6" i="5"/>
  <c r="AF14" i="5"/>
  <c r="AG10" i="5"/>
  <c r="AI19" i="5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4" i="5"/>
  <c r="AA28" i="3" l="1"/>
  <c r="AA27" i="3"/>
  <c r="AA26" i="3"/>
  <c r="AA25" i="3"/>
  <c r="AA24" i="3"/>
  <c r="AA23" i="3"/>
  <c r="K23" i="3"/>
  <c r="AA22" i="3"/>
  <c r="K22" i="3"/>
  <c r="AA21" i="3"/>
  <c r="S21" i="3"/>
  <c r="K21" i="3"/>
  <c r="F21" i="3"/>
  <c r="AA20" i="3"/>
  <c r="S20" i="3"/>
  <c r="K20" i="3"/>
  <c r="F20" i="3"/>
  <c r="AH19" i="3"/>
  <c r="AA19" i="3"/>
  <c r="S19" i="3"/>
  <c r="K19" i="3"/>
  <c r="F19" i="3"/>
  <c r="AH18" i="3"/>
  <c r="AA18" i="3"/>
  <c r="S18" i="3"/>
  <c r="K18" i="3"/>
  <c r="F18" i="3"/>
  <c r="AO17" i="3"/>
  <c r="AH17" i="3"/>
  <c r="AA17" i="3"/>
  <c r="S17" i="3"/>
  <c r="K17" i="3"/>
  <c r="F17" i="3"/>
  <c r="AO16" i="3"/>
  <c r="AH16" i="3"/>
  <c r="AA16" i="3"/>
  <c r="S16" i="3"/>
  <c r="K16" i="3"/>
  <c r="F16" i="3"/>
  <c r="AO15" i="3"/>
  <c r="AH15" i="3"/>
  <c r="AA15" i="3"/>
  <c r="S15" i="3"/>
  <c r="K15" i="3"/>
  <c r="F15" i="3"/>
  <c r="AO14" i="3"/>
  <c r="AH14" i="3"/>
  <c r="AA14" i="3"/>
  <c r="S14" i="3"/>
  <c r="K14" i="3"/>
  <c r="F14" i="3"/>
  <c r="AO13" i="3"/>
  <c r="AH13" i="3"/>
  <c r="AA13" i="3"/>
  <c r="S13" i="3"/>
  <c r="K13" i="3"/>
  <c r="F13" i="3"/>
  <c r="AO12" i="3"/>
  <c r="AH12" i="3"/>
  <c r="AA12" i="3"/>
  <c r="S12" i="3"/>
  <c r="K12" i="3"/>
  <c r="F12" i="3"/>
  <c r="AO11" i="3"/>
  <c r="AH11" i="3"/>
  <c r="AA11" i="3"/>
  <c r="S11" i="3"/>
  <c r="K11" i="3"/>
  <c r="F11" i="3"/>
  <c r="AO10" i="3"/>
  <c r="AH10" i="3"/>
  <c r="AA10" i="3"/>
  <c r="S10" i="3"/>
  <c r="K10" i="3"/>
  <c r="F10" i="3"/>
  <c r="AO9" i="3"/>
  <c r="AH9" i="3"/>
  <c r="AA9" i="3"/>
  <c r="S9" i="3"/>
  <c r="K9" i="3"/>
  <c r="F9" i="3"/>
  <c r="AO8" i="3"/>
  <c r="AH8" i="3"/>
  <c r="AA8" i="3"/>
  <c r="S8" i="3"/>
  <c r="K8" i="3"/>
  <c r="F8" i="3"/>
  <c r="AO7" i="3"/>
  <c r="AH7" i="3"/>
  <c r="AA7" i="3"/>
  <c r="S7" i="3"/>
  <c r="K7" i="3"/>
  <c r="F7" i="3"/>
  <c r="AO6" i="3"/>
  <c r="AH6" i="3"/>
  <c r="AA6" i="3"/>
  <c r="S6" i="3"/>
  <c r="K6" i="3"/>
  <c r="F6" i="3"/>
  <c r="AO5" i="3"/>
  <c r="AH5" i="3"/>
  <c r="AA5" i="3"/>
  <c r="S5" i="3"/>
  <c r="K5" i="3"/>
  <c r="F5" i="3"/>
  <c r="AO4" i="3"/>
  <c r="AH4" i="3"/>
  <c r="AA4" i="3"/>
  <c r="S4" i="3"/>
  <c r="K4" i="3"/>
  <c r="F4" i="3"/>
  <c r="D6" i="1"/>
  <c r="C42" i="2"/>
  <c r="J28" i="2"/>
  <c r="I32" i="2"/>
  <c r="H9" i="2"/>
  <c r="I21" i="2"/>
  <c r="C39" i="2"/>
  <c r="I15" i="2"/>
  <c r="I9" i="2"/>
  <c r="J15" i="2"/>
  <c r="AQ4" i="3"/>
  <c r="C4" i="4"/>
  <c r="C7" i="4"/>
  <c r="AQ15" i="3"/>
  <c r="AP6" i="3"/>
  <c r="AQ6" i="3"/>
  <c r="I25" i="2"/>
  <c r="I24" i="2"/>
  <c r="J24" i="2"/>
  <c r="I10" i="1"/>
  <c r="H35" i="4"/>
  <c r="C8" i="2"/>
  <c r="H33" i="4"/>
  <c r="H34" i="4"/>
  <c r="H26" i="4"/>
  <c r="H26" i="2"/>
  <c r="AR12" i="3"/>
  <c r="H31" i="2"/>
  <c r="H15" i="2"/>
  <c r="I13" i="2"/>
  <c r="AP10" i="3"/>
  <c r="AP16" i="3"/>
  <c r="AQ14" i="3"/>
  <c r="H20" i="4"/>
  <c r="AQ10" i="3"/>
  <c r="H30" i="4"/>
  <c r="J8" i="2"/>
  <c r="J32" i="2"/>
  <c r="I10" i="2"/>
  <c r="H17" i="2"/>
  <c r="AP8" i="3"/>
  <c r="C4" i="2"/>
  <c r="AP11" i="3"/>
  <c r="I19" i="2"/>
  <c r="C20" i="2"/>
  <c r="U6" i="1"/>
  <c r="AP13" i="3"/>
  <c r="H19" i="2"/>
  <c r="H7" i="2"/>
  <c r="J31" i="2"/>
  <c r="C22" i="2"/>
  <c r="J27" i="2"/>
  <c r="AR6" i="3"/>
  <c r="C21" i="2"/>
  <c r="C18" i="2"/>
  <c r="AR4" i="3"/>
  <c r="J30" i="2"/>
  <c r="AP7" i="3"/>
  <c r="I17" i="2"/>
  <c r="H10" i="2"/>
  <c r="O9" i="1"/>
  <c r="C10" i="2"/>
  <c r="O6" i="1"/>
  <c r="C12" i="2"/>
  <c r="O13" i="1"/>
  <c r="I11" i="2"/>
  <c r="I7" i="1"/>
  <c r="C33" i="2"/>
  <c r="I16" i="2"/>
  <c r="C30" i="2"/>
  <c r="C38" i="2"/>
  <c r="D7" i="1"/>
  <c r="I7" i="2"/>
  <c r="H27" i="4"/>
  <c r="J6" i="2"/>
  <c r="H25" i="2"/>
  <c r="AR16" i="3"/>
  <c r="H23" i="2"/>
  <c r="I8" i="2"/>
  <c r="C5" i="4"/>
  <c r="I5" i="1"/>
  <c r="H11" i="2"/>
  <c r="I4" i="1"/>
  <c r="J10" i="2"/>
  <c r="I22" i="2"/>
  <c r="C7" i="2"/>
  <c r="H16" i="2"/>
  <c r="C27" i="2"/>
  <c r="I26" i="2"/>
  <c r="AR14" i="3"/>
  <c r="AP17" i="3"/>
  <c r="J12" i="2"/>
  <c r="AP4" i="3"/>
  <c r="H8" i="2"/>
  <c r="H7" i="4"/>
  <c r="H12" i="4"/>
  <c r="D8" i="1"/>
  <c r="O7" i="1"/>
  <c r="J33" i="2"/>
  <c r="H15" i="4"/>
  <c r="D9" i="1"/>
  <c r="H4" i="4"/>
  <c r="C17" i="2"/>
  <c r="H11" i="4"/>
  <c r="C28" i="2"/>
  <c r="H22" i="2"/>
  <c r="AQ16" i="3"/>
  <c r="C11" i="2"/>
  <c r="I11" i="1"/>
  <c r="I20" i="2"/>
  <c r="H16" i="4"/>
  <c r="H19" i="4"/>
  <c r="C15" i="2"/>
  <c r="D4" i="1"/>
  <c r="H10" i="4"/>
  <c r="H18" i="4"/>
  <c r="AR9" i="3"/>
  <c r="H25" i="4"/>
  <c r="AP12" i="3"/>
  <c r="AP14" i="3"/>
  <c r="AQ17" i="3"/>
  <c r="AP15" i="3"/>
  <c r="C6" i="2"/>
  <c r="O4" i="1"/>
  <c r="H6" i="4"/>
  <c r="C32" i="2"/>
  <c r="H28" i="2"/>
  <c r="AQ7" i="3"/>
  <c r="J13" i="2"/>
  <c r="H21" i="4"/>
  <c r="AQ12" i="3"/>
  <c r="J20" i="2"/>
  <c r="J29" i="2"/>
  <c r="C23" i="2"/>
  <c r="C36" i="2"/>
  <c r="J5" i="2"/>
  <c r="O12" i="1"/>
  <c r="I4" i="2"/>
  <c r="I30" i="2"/>
  <c r="I33" i="2"/>
  <c r="C31" i="2"/>
  <c r="AR5" i="3"/>
  <c r="C35" i="2"/>
  <c r="C40" i="2"/>
  <c r="I29" i="2"/>
  <c r="J11" i="2"/>
  <c r="AR8" i="3"/>
  <c r="I18" i="2"/>
  <c r="H9" i="4"/>
  <c r="H27" i="2"/>
  <c r="D10" i="1"/>
  <c r="C41" i="2"/>
  <c r="C6" i="4"/>
  <c r="H28" i="4"/>
  <c r="H13" i="4"/>
  <c r="I14" i="2"/>
  <c r="AR7" i="3"/>
  <c r="C13" i="2"/>
  <c r="I9" i="1"/>
  <c r="J26" i="2"/>
  <c r="H21" i="2"/>
  <c r="H17" i="4"/>
  <c r="H29" i="4"/>
  <c r="J7" i="2"/>
  <c r="J25" i="2"/>
  <c r="H20" i="2"/>
  <c r="H30" i="2"/>
  <c r="C19" i="2"/>
  <c r="D12" i="1"/>
  <c r="AQ11" i="3"/>
  <c r="H32" i="2"/>
  <c r="C14" i="2"/>
  <c r="H24" i="4"/>
  <c r="O10" i="1"/>
  <c r="H8" i="4"/>
  <c r="AR10" i="3"/>
  <c r="I31" i="2"/>
  <c r="C24" i="2"/>
  <c r="J19" i="2"/>
  <c r="I12" i="1"/>
  <c r="H32" i="4"/>
  <c r="U5" i="1"/>
  <c r="H22" i="4"/>
  <c r="AQ8" i="3"/>
  <c r="I5" i="2"/>
  <c r="J23" i="2"/>
  <c r="H6" i="2"/>
  <c r="J17" i="2"/>
  <c r="C5" i="2"/>
  <c r="AQ9" i="3"/>
  <c r="C26" i="2"/>
  <c r="J16" i="2"/>
  <c r="C34" i="2"/>
  <c r="AQ5" i="3"/>
  <c r="I23" i="2"/>
  <c r="AR13" i="3"/>
  <c r="J14" i="2"/>
  <c r="I8" i="1"/>
  <c r="C16" i="2"/>
  <c r="H5" i="4"/>
  <c r="C9" i="2"/>
  <c r="O8" i="1"/>
  <c r="O11" i="1"/>
  <c r="U4" i="1"/>
  <c r="H23" i="4"/>
  <c r="H14" i="2"/>
  <c r="J18" i="2"/>
  <c r="H13" i="2"/>
  <c r="D5" i="1"/>
  <c r="I28" i="2"/>
  <c r="AP5" i="3"/>
  <c r="I6" i="2"/>
  <c r="H31" i="4"/>
  <c r="J9" i="2"/>
  <c r="D11" i="1"/>
  <c r="I12" i="2"/>
  <c r="H33" i="2"/>
  <c r="C37" i="2"/>
  <c r="H24" i="2"/>
  <c r="AR17" i="3"/>
  <c r="AP9" i="3"/>
  <c r="I6" i="1"/>
  <c r="D13" i="1"/>
  <c r="C29" i="2"/>
  <c r="AR15" i="3"/>
  <c r="H4" i="2"/>
  <c r="J4" i="2"/>
  <c r="H5" i="2"/>
  <c r="H29" i="2"/>
  <c r="C25" i="2"/>
  <c r="I27" i="2"/>
  <c r="H12" i="2"/>
  <c r="J21" i="2"/>
  <c r="I13" i="1"/>
  <c r="H14" i="4"/>
  <c r="O5" i="1"/>
  <c r="J22" i="2"/>
  <c r="AR11" i="3"/>
  <c r="AQ13" i="3"/>
  <c r="H18" i="2"/>
  <c r="U7" i="1"/>
</calcChain>
</file>

<file path=xl/sharedStrings.xml><?xml version="1.0" encoding="utf-8"?>
<sst xmlns="http://schemas.openxmlformats.org/spreadsheetml/2006/main" count="2469" uniqueCount="1287">
  <si>
    <t>Ejercicio 12</t>
  </si>
  <si>
    <t>Ejercicio 13</t>
  </si>
  <si>
    <t>Ejercicio 14</t>
  </si>
  <si>
    <t>Ejercicio 15</t>
  </si>
  <si>
    <t>Problema</t>
  </si>
  <si>
    <t>Número decimal</t>
  </si>
  <si>
    <t>Base nueva</t>
  </si>
  <si>
    <t>Número en base nueva</t>
  </si>
  <si>
    <t>Número en base 1</t>
  </si>
  <si>
    <t>Base 1</t>
  </si>
  <si>
    <t>Base1</t>
  </si>
  <si>
    <t>Base2</t>
  </si>
  <si>
    <t>Número en base 2</t>
  </si>
  <si>
    <t>B56</t>
  </si>
  <si>
    <t>54CD</t>
  </si>
  <si>
    <t>C00B</t>
  </si>
  <si>
    <t>7AB5</t>
  </si>
  <si>
    <t>5AB4</t>
  </si>
  <si>
    <t>CDA6</t>
  </si>
  <si>
    <t>ABCD</t>
  </si>
  <si>
    <t>8EFA</t>
  </si>
  <si>
    <t>EF4C</t>
  </si>
  <si>
    <t>HEG34</t>
  </si>
  <si>
    <t>HF00C</t>
  </si>
  <si>
    <t>8A0D</t>
  </si>
  <si>
    <t>Ejercicio 83</t>
  </si>
  <si>
    <t>Primer número</t>
  </si>
  <si>
    <t>Factores primos</t>
  </si>
  <si>
    <t>Ejercicio 85</t>
  </si>
  <si>
    <t>Ejercicio 86</t>
  </si>
  <si>
    <t>Ejercicio 87</t>
  </si>
  <si>
    <t>Ejercicio 89</t>
  </si>
  <si>
    <t>Ejercicio 90</t>
  </si>
  <si>
    <t>Segundo número</t>
  </si>
  <si>
    <t>Tercer número</t>
  </si>
  <si>
    <t>Cuarto número</t>
  </si>
  <si>
    <t>MCD</t>
  </si>
  <si>
    <t>Quinto número</t>
  </si>
  <si>
    <t>Descomposición  en factores primos del MCD</t>
  </si>
  <si>
    <t>Total de factores comunes</t>
  </si>
  <si>
    <t>Factores comunes</t>
  </si>
  <si>
    <t>1  a)</t>
  </si>
  <si>
    <t>1 b)</t>
  </si>
  <si>
    <t>1 c)</t>
  </si>
  <si>
    <t>Ejercicio 84</t>
  </si>
  <si>
    <t>Número</t>
  </si>
  <si>
    <t>¿Es primo?</t>
  </si>
  <si>
    <t>Ejercicio 80</t>
  </si>
  <si>
    <t>Números primeros</t>
  </si>
  <si>
    <t>Número final</t>
  </si>
  <si>
    <t>Ejercicio 92</t>
  </si>
  <si>
    <t>MCM</t>
  </si>
  <si>
    <t>Sexto número</t>
  </si>
  <si>
    <t>Producto</t>
  </si>
  <si>
    <t>Ejercicio 93</t>
  </si>
  <si>
    <t>Ejercicio 94</t>
  </si>
  <si>
    <t>Descomposición 1° número</t>
  </si>
  <si>
    <t>Descomposición 2° número</t>
  </si>
  <si>
    <t>Descomposición 3° número</t>
  </si>
  <si>
    <t>Descomposición 4° número</t>
  </si>
  <si>
    <t>Descomposición 5° número</t>
  </si>
  <si>
    <t>Cálculo del MCM por factores</t>
  </si>
  <si>
    <t>23*2*3</t>
  </si>
  <si>
    <t>7*5*2</t>
  </si>
  <si>
    <r>
      <t>5*2</t>
    </r>
    <r>
      <rPr>
        <vertAlign val="superscript"/>
        <sz val="11"/>
        <color rgb="FF00FF00"/>
        <rFont val="Calibri"/>
        <family val="2"/>
      </rPr>
      <t>5</t>
    </r>
  </si>
  <si>
    <r>
      <t>3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*2</t>
    </r>
    <r>
      <rPr>
        <vertAlign val="superscript"/>
        <sz val="11"/>
        <color rgb="FF00FF00"/>
        <rFont val="Calibri"/>
        <family val="2"/>
      </rPr>
      <t>3</t>
    </r>
    <r>
      <rPr>
        <sz val="11"/>
        <color rgb="FF00FF00"/>
        <rFont val="Calibri"/>
        <family val="2"/>
      </rPr>
      <t>*5</t>
    </r>
  </si>
  <si>
    <r>
      <t>2</t>
    </r>
    <r>
      <rPr>
        <vertAlign val="superscript"/>
        <sz val="11"/>
        <color rgb="FF00FF00"/>
        <rFont val="Calibri"/>
        <family val="2"/>
      </rPr>
      <t>5</t>
    </r>
    <r>
      <rPr>
        <sz val="11"/>
        <color rgb="FF00FF00"/>
        <rFont val="Calibri"/>
        <family val="2"/>
      </rPr>
      <t>*3</t>
    </r>
    <r>
      <rPr>
        <vertAlign val="superscript"/>
        <sz val="11"/>
        <color rgb="FF00FF00"/>
        <rFont val="Calibri"/>
        <family val="2"/>
      </rPr>
      <t>3</t>
    </r>
  </si>
  <si>
    <r>
      <t>2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*3*5</t>
    </r>
    <r>
      <rPr>
        <vertAlign val="superscript"/>
        <sz val="11"/>
        <color rgb="FF00FF00"/>
        <rFont val="Calibri"/>
        <family val="2"/>
      </rPr>
      <t>2</t>
    </r>
  </si>
  <si>
    <r>
      <t>2</t>
    </r>
    <r>
      <rPr>
        <vertAlign val="superscript"/>
        <sz val="11"/>
        <color rgb="FF00FF00"/>
        <rFont val="Calibri"/>
        <family val="2"/>
      </rPr>
      <t>3</t>
    </r>
    <r>
      <rPr>
        <sz val="11"/>
        <color rgb="FF00FF00"/>
        <rFont val="Calibri"/>
        <family val="2"/>
      </rPr>
      <t>*5</t>
    </r>
    <r>
      <rPr>
        <vertAlign val="superscript"/>
        <sz val="11"/>
        <color rgb="FF00FF00"/>
        <rFont val="Calibri"/>
        <family val="2"/>
      </rPr>
      <t>3</t>
    </r>
    <r>
      <rPr>
        <sz val="11"/>
        <color rgb="FF00FF00"/>
        <rFont val="Calibri"/>
        <family val="2"/>
      </rPr>
      <t>*7</t>
    </r>
  </si>
  <si>
    <r>
      <t>2</t>
    </r>
    <r>
      <rPr>
        <vertAlign val="superscript"/>
        <sz val="11"/>
        <color rgb="FF00FF00"/>
        <rFont val="Calibri"/>
        <family val="2"/>
      </rPr>
      <t>3</t>
    </r>
    <r>
      <rPr>
        <sz val="11"/>
        <color rgb="FF00FF00"/>
        <rFont val="Calibri"/>
        <family val="2"/>
      </rPr>
      <t>*3*7*19</t>
    </r>
  </si>
  <si>
    <r>
      <t>2*3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*13*19</t>
    </r>
  </si>
  <si>
    <r>
      <t>2</t>
    </r>
    <r>
      <rPr>
        <vertAlign val="superscript"/>
        <sz val="11"/>
        <color rgb="FF00FF00"/>
        <rFont val="Calibri"/>
        <family val="2"/>
      </rPr>
      <t>4</t>
    </r>
    <r>
      <rPr>
        <sz val="11"/>
        <color rgb="FF00FF00"/>
        <rFont val="Calibri"/>
        <family val="2"/>
      </rPr>
      <t>*3*5</t>
    </r>
    <r>
      <rPr>
        <vertAlign val="superscript"/>
        <sz val="11"/>
        <color rgb="FF00FF00"/>
        <rFont val="Calibri"/>
        <family val="2"/>
      </rPr>
      <t>2</t>
    </r>
  </si>
  <si>
    <r>
      <t>2</t>
    </r>
    <r>
      <rPr>
        <vertAlign val="superscript"/>
        <sz val="11"/>
        <color rgb="FF00FF00"/>
        <rFont val="Calibri"/>
        <family val="2"/>
      </rPr>
      <t>3</t>
    </r>
    <r>
      <rPr>
        <sz val="11"/>
        <color rgb="FF00FF00"/>
        <rFont val="Calibri"/>
        <family val="2"/>
      </rPr>
      <t>*3*5*7</t>
    </r>
  </si>
  <si>
    <r>
      <t>2</t>
    </r>
    <r>
      <rPr>
        <vertAlign val="superscript"/>
        <sz val="11"/>
        <color rgb="FF00FF00"/>
        <rFont val="Calibri"/>
        <family val="2"/>
      </rPr>
      <t>6</t>
    </r>
    <r>
      <rPr>
        <sz val="11"/>
        <color rgb="FF00FF00"/>
        <rFont val="Calibri"/>
        <family val="2"/>
      </rPr>
      <t>*3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*17</t>
    </r>
  </si>
  <si>
    <r>
      <t>2</t>
    </r>
    <r>
      <rPr>
        <vertAlign val="superscript"/>
        <sz val="11"/>
        <color rgb="FF00FF00"/>
        <rFont val="Calibri"/>
        <family val="2"/>
      </rPr>
      <t>4</t>
    </r>
    <r>
      <rPr>
        <sz val="11"/>
        <color rgb="FF00FF00"/>
        <rFont val="Calibri"/>
        <family val="2"/>
      </rPr>
      <t>*3</t>
    </r>
    <r>
      <rPr>
        <vertAlign val="superscript"/>
        <sz val="11"/>
        <color rgb="FF00FF00"/>
        <rFont val="Calibri"/>
        <family val="2"/>
      </rPr>
      <t>3</t>
    </r>
    <r>
      <rPr>
        <sz val="11"/>
        <color rgb="FF00FF00"/>
        <rFont val="Calibri"/>
        <family val="2"/>
      </rPr>
      <t>*5</t>
    </r>
    <r>
      <rPr>
        <vertAlign val="superscript"/>
        <sz val="11"/>
        <color rgb="FF00FF00"/>
        <rFont val="Calibri"/>
        <family val="2"/>
      </rPr>
      <t>3</t>
    </r>
  </si>
  <si>
    <r>
      <t>2</t>
    </r>
    <r>
      <rPr>
        <vertAlign val="superscript"/>
        <sz val="11"/>
        <color rgb="FF00FF00"/>
        <rFont val="Calibri"/>
        <family val="2"/>
      </rPr>
      <t>3</t>
    </r>
    <r>
      <rPr>
        <sz val="11"/>
        <color rgb="FF00FF00"/>
        <rFont val="Calibri"/>
        <family val="2"/>
      </rPr>
      <t>*3*5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*7*13</t>
    </r>
  </si>
  <si>
    <r>
      <t>2</t>
    </r>
    <r>
      <rPr>
        <vertAlign val="superscript"/>
        <sz val="11"/>
        <color rgb="FF00FF00"/>
        <rFont val="Calibri"/>
        <family val="2"/>
      </rPr>
      <t>4</t>
    </r>
    <r>
      <rPr>
        <sz val="11"/>
        <color rgb="FF00FF00"/>
        <rFont val="Calibri"/>
        <family val="2"/>
      </rPr>
      <t>*3</t>
    </r>
    <r>
      <rPr>
        <vertAlign val="superscript"/>
        <sz val="11"/>
        <color rgb="FF00FF00"/>
        <rFont val="Calibri"/>
        <family val="2"/>
      </rPr>
      <t>4</t>
    </r>
    <r>
      <rPr>
        <sz val="11"/>
        <color rgb="FF00FF00"/>
        <rFont val="Calibri"/>
        <family val="2"/>
      </rPr>
      <t>*5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*7</t>
    </r>
  </si>
  <si>
    <r>
      <t>2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*5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*7</t>
    </r>
    <r>
      <rPr>
        <vertAlign val="superscript"/>
        <sz val="11"/>
        <color rgb="FF00FF00"/>
        <rFont val="Calibri"/>
        <family val="2"/>
      </rPr>
      <t>4</t>
    </r>
  </si>
  <si>
    <r>
      <t>2*5*7*13</t>
    </r>
    <r>
      <rPr>
        <vertAlign val="superscript"/>
        <sz val="11"/>
        <color rgb="FF00FF00"/>
        <rFont val="Calibri"/>
        <family val="2"/>
      </rPr>
      <t>3</t>
    </r>
  </si>
  <si>
    <r>
      <t>2*3*5*23</t>
    </r>
    <r>
      <rPr>
        <vertAlign val="superscript"/>
        <sz val="11"/>
        <color rgb="FF00FF00"/>
        <rFont val="Calibri"/>
        <family val="2"/>
      </rPr>
      <t>2</t>
    </r>
  </si>
  <si>
    <r>
      <t>2*3*7*29</t>
    </r>
    <r>
      <rPr>
        <vertAlign val="superscript"/>
        <sz val="11"/>
        <color rgb="FF00FF00"/>
        <rFont val="Calibri"/>
        <family val="2"/>
      </rPr>
      <t>2</t>
    </r>
  </si>
  <si>
    <r>
      <t>2</t>
    </r>
    <r>
      <rPr>
        <vertAlign val="superscript"/>
        <sz val="11"/>
        <color rgb="FF00FF00"/>
        <rFont val="Calibri"/>
        <family val="2"/>
      </rPr>
      <t>2</t>
    </r>
    <r>
      <rPr>
        <sz val="11"/>
        <color rgb="FF00FF00"/>
        <rFont val="Calibri"/>
        <family val="2"/>
      </rPr>
      <t>*3*5*37</t>
    </r>
    <r>
      <rPr>
        <vertAlign val="superscript"/>
        <sz val="11"/>
        <color rgb="FF00FF00"/>
        <rFont val="Calibri"/>
        <family val="2"/>
      </rPr>
      <t>2</t>
    </r>
  </si>
  <si>
    <t>Ejercicio 100</t>
  </si>
  <si>
    <t>Quebrado</t>
  </si>
  <si>
    <t>Entero</t>
  </si>
  <si>
    <t>Numerador</t>
  </si>
  <si>
    <t>Denominador</t>
  </si>
  <si>
    <t>Mixto</t>
  </si>
  <si>
    <t>Ejercicio 101</t>
  </si>
  <si>
    <t>Ejercicio 102</t>
  </si>
  <si>
    <t>Ejercicio 103</t>
  </si>
  <si>
    <t>Ejercicio 104</t>
  </si>
  <si>
    <t>Ejercicio 105</t>
  </si>
  <si>
    <t>Ejercicio 106</t>
  </si>
  <si>
    <t>4/2</t>
  </si>
  <si>
    <t>6/2</t>
  </si>
  <si>
    <t>12/3</t>
  </si>
  <si>
    <t>5/1</t>
  </si>
  <si>
    <t>40/8</t>
  </si>
  <si>
    <t>24/4</t>
  </si>
  <si>
    <t>14/2</t>
  </si>
  <si>
    <t>40/5</t>
  </si>
  <si>
    <t>54/6</t>
  </si>
  <si>
    <t>77/11</t>
  </si>
  <si>
    <t>60/12</t>
  </si>
  <si>
    <t>78/13</t>
  </si>
  <si>
    <t>99/9</t>
  </si>
  <si>
    <t>120/10</t>
  </si>
  <si>
    <t>143/11</t>
  </si>
  <si>
    <t>126/7</t>
  </si>
  <si>
    <t>80/4</t>
  </si>
  <si>
    <t>125/5</t>
  </si>
  <si>
    <t>270/9</t>
  </si>
  <si>
    <t>108/3</t>
  </si>
  <si>
    <t>Ejercicio 107</t>
  </si>
  <si>
    <t>Denominador 1</t>
  </si>
  <si>
    <t>Denominador 2</t>
  </si>
  <si>
    <t>Quebrado final</t>
  </si>
  <si>
    <t>Quebrado original</t>
  </si>
  <si>
    <t>Ejercicio 108</t>
  </si>
  <si>
    <t>Ejercicio 109</t>
  </si>
  <si>
    <t>Ejercicio 110</t>
  </si>
  <si>
    <t>Ejercicio 111</t>
  </si>
  <si>
    <t>Ejercicio 112</t>
  </si>
  <si>
    <t>Ejercicio 113</t>
  </si>
  <si>
    <t xml:space="preserve">Denominador </t>
  </si>
  <si>
    <t>Factores numerador</t>
  </si>
  <si>
    <t>Factores denominador</t>
  </si>
  <si>
    <t>Quebrado simplificado</t>
  </si>
  <si>
    <t>Denominador final</t>
  </si>
  <si>
    <t>Numerador simplificado</t>
  </si>
  <si>
    <t>Denominador simplificado</t>
  </si>
  <si>
    <t>3×2</t>
  </si>
  <si>
    <r>
      <t>3×2</t>
    </r>
    <r>
      <rPr>
        <vertAlign val="superscript"/>
        <sz val="12"/>
        <color theme="1"/>
        <rFont val="Verdana"/>
        <family val="2"/>
      </rPr>
      <t>4</t>
    </r>
  </si>
  <si>
    <t>17×3</t>
  </si>
  <si>
    <t>7×2</t>
  </si>
  <si>
    <t>5×3</t>
  </si>
  <si>
    <r>
      <t>3×2</t>
    </r>
    <r>
      <rPr>
        <vertAlign val="superscript"/>
        <sz val="12"/>
        <color theme="1"/>
        <rFont val="Verdana"/>
        <family val="2"/>
      </rPr>
      <t>2</t>
    </r>
  </si>
  <si>
    <t>5×2</t>
  </si>
  <si>
    <r>
      <t>5×2</t>
    </r>
    <r>
      <rPr>
        <vertAlign val="superscript"/>
        <sz val="12"/>
        <color theme="1"/>
        <rFont val="Verdana"/>
        <family val="2"/>
      </rPr>
      <t>2</t>
    </r>
  </si>
  <si>
    <t>17×7×3</t>
  </si>
  <si>
    <t>41×11</t>
  </si>
  <si>
    <t>7×3</t>
  </si>
  <si>
    <r>
      <t>11</t>
    </r>
    <r>
      <rPr>
        <vertAlign val="superscript"/>
        <sz val="11"/>
        <color theme="1"/>
        <rFont val="Verdana"/>
        <family val="2"/>
      </rPr>
      <t>2</t>
    </r>
    <r>
      <rPr>
        <sz val="11"/>
        <color theme="1"/>
        <rFont val="Calibri"/>
        <family val="2"/>
        <scheme val="minor"/>
      </rPr>
      <t>×2</t>
    </r>
  </si>
  <si>
    <r>
      <t>3</t>
    </r>
    <r>
      <rPr>
        <vertAlign val="superscript"/>
        <sz val="12"/>
        <color theme="1"/>
        <rFont val="Verdana"/>
        <family val="2"/>
      </rPr>
      <t>2</t>
    </r>
  </si>
  <si>
    <r>
      <t>2</t>
    </r>
    <r>
      <rPr>
        <vertAlign val="superscript"/>
        <sz val="12"/>
        <color theme="1"/>
        <rFont val="Verdana"/>
        <family val="2"/>
      </rPr>
      <t>4</t>
    </r>
  </si>
  <si>
    <r>
      <t>2</t>
    </r>
    <r>
      <rPr>
        <vertAlign val="superscript"/>
        <sz val="12"/>
        <color theme="1"/>
        <rFont val="Verdana"/>
        <family val="2"/>
      </rPr>
      <t>3</t>
    </r>
  </si>
  <si>
    <t>MCD numerador y denominador</t>
  </si>
  <si>
    <t>Factor numerador 1</t>
  </si>
  <si>
    <t>Factor numerador 2</t>
  </si>
  <si>
    <t>Factor numerador 3</t>
  </si>
  <si>
    <t>Factor numerador 4</t>
  </si>
  <si>
    <t>Factores numerador 5</t>
  </si>
  <si>
    <t>Factores denominador 1</t>
  </si>
  <si>
    <t>Factores denominador 2</t>
  </si>
  <si>
    <t>Factores denominador 3</t>
  </si>
  <si>
    <t>Factores denominador 4</t>
  </si>
  <si>
    <t>Factores denominador 5</t>
  </si>
  <si>
    <t>Factor numerador 5</t>
  </si>
  <si>
    <t>Factor denominador 1</t>
  </si>
  <si>
    <t>Factor denominador 2</t>
  </si>
  <si>
    <t>Factor denominador 3</t>
  </si>
  <si>
    <t>Factor denominador 4</t>
  </si>
  <si>
    <t>Factor denominador 5</t>
  </si>
  <si>
    <t>Factores numerador 1</t>
  </si>
  <si>
    <t>Factores numerador 2</t>
  </si>
  <si>
    <t>Factores numerador 3</t>
  </si>
  <si>
    <t>Factores numerador 4</t>
  </si>
  <si>
    <t>×</t>
  </si>
  <si>
    <t>13×11×3</t>
  </si>
  <si>
    <t>31×7×2×3</t>
  </si>
  <si>
    <r>
      <t>7×2</t>
    </r>
    <r>
      <rPr>
        <vertAlign val="superscript"/>
        <sz val="11"/>
        <color theme="1"/>
        <rFont val="Calibri"/>
        <family val="2"/>
        <scheme val="minor"/>
      </rPr>
      <t>2</t>
    </r>
  </si>
  <si>
    <r>
      <t>7×2</t>
    </r>
    <r>
      <rPr>
        <vertAlign val="superscript"/>
        <sz val="11"/>
        <color theme="1"/>
        <rFont val="Calibri"/>
        <family val="2"/>
        <scheme val="minor"/>
      </rPr>
      <t>5</t>
    </r>
  </si>
  <si>
    <r>
      <t>5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×7</t>
    </r>
  </si>
  <si>
    <r>
      <t>3×2</t>
    </r>
    <r>
      <rPr>
        <vertAlign val="superscript"/>
        <sz val="11"/>
        <color theme="1"/>
        <rFont val="Calibri"/>
        <family val="2"/>
        <scheme val="minor"/>
      </rPr>
      <t>5</t>
    </r>
  </si>
  <si>
    <r>
      <t>17×3×2</t>
    </r>
    <r>
      <rPr>
        <vertAlign val="superscript"/>
        <sz val="11"/>
        <color theme="1"/>
        <rFont val="Calibri"/>
        <family val="2"/>
        <scheme val="minor"/>
      </rPr>
      <t>7</t>
    </r>
  </si>
  <si>
    <r>
      <t>2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</si>
  <si>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</t>
    </r>
    <r>
      <rPr>
        <vertAlign val="superscript"/>
        <sz val="11"/>
        <color theme="1"/>
        <rFont val="Calibri"/>
        <family val="2"/>
        <scheme val="minor"/>
      </rPr>
      <t>3</t>
    </r>
  </si>
  <si>
    <t>Ejercicio 114</t>
  </si>
  <si>
    <t>Numerador 1</t>
  </si>
  <si>
    <t>Numerador 2</t>
  </si>
  <si>
    <t>Numerador 3</t>
  </si>
  <si>
    <t>Numerador 4</t>
  </si>
  <si>
    <t>Denominador 3</t>
  </si>
  <si>
    <t>Denominador 4</t>
  </si>
  <si>
    <t>Numerador final 1</t>
  </si>
  <si>
    <t>Numerador final 4</t>
  </si>
  <si>
    <t>Numerador final 3</t>
  </si>
  <si>
    <t>Numerador final 2</t>
  </si>
  <si>
    <t>Quebrado simplificado 1</t>
  </si>
  <si>
    <t>Quebrado simplificado 2</t>
  </si>
  <si>
    <t>Quebrado simplificado 3</t>
  </si>
  <si>
    <t>Quebrado simplificado 4</t>
  </si>
  <si>
    <t>Ejercicio 116</t>
  </si>
  <si>
    <t>Ejercicio 117</t>
  </si>
  <si>
    <t>Ejercicio 115</t>
  </si>
  <si>
    <t>Resultado</t>
  </si>
  <si>
    <t>Factor</t>
  </si>
  <si>
    <t>Término 3</t>
  </si>
  <si>
    <t>Término 2</t>
  </si>
  <si>
    <t>Término 1</t>
  </si>
  <si>
    <t>Factor 2</t>
  </si>
  <si>
    <t>Factor 1</t>
  </si>
  <si>
    <t>Número 6</t>
  </si>
  <si>
    <t>Número 5</t>
  </si>
  <si>
    <t>Número 4</t>
  </si>
  <si>
    <t>Número 3</t>
  </si>
  <si>
    <t>Número 2</t>
  </si>
  <si>
    <t>Número 1</t>
  </si>
  <si>
    <t>Sustraendo 3</t>
  </si>
  <si>
    <t>Sustraendo 2</t>
  </si>
  <si>
    <t>Sustraendo 1</t>
  </si>
  <si>
    <t>Minuendo</t>
  </si>
  <si>
    <t>Sumando 6</t>
  </si>
  <si>
    <t>Sumando 5</t>
  </si>
  <si>
    <t>Sumando 4</t>
  </si>
  <si>
    <t>Sumando 3</t>
  </si>
  <si>
    <t>Sumando 2</t>
  </si>
  <si>
    <t>Sumando 1</t>
  </si>
  <si>
    <t>Potencia de 10</t>
  </si>
  <si>
    <t>Parte entera</t>
  </si>
  <si>
    <t>Ejercicio 179</t>
  </si>
  <si>
    <t>Ejercicio 178</t>
  </si>
  <si>
    <t>Ejercicio 177</t>
  </si>
  <si>
    <t>Ejercicio 176</t>
  </si>
  <si>
    <t>Ejercicio 175</t>
  </si>
  <si>
    <t>Ejercicio 174</t>
  </si>
  <si>
    <t>Ejercicio 173</t>
  </si>
  <si>
    <t>Ejercicio 172</t>
  </si>
  <si>
    <t>Ejercicio 171</t>
  </si>
  <si>
    <t>Ejercicio 169</t>
  </si>
  <si>
    <t>Ejercicio 145</t>
  </si>
  <si>
    <t>Numerador  2</t>
  </si>
  <si>
    <t>Ejercicio 146</t>
  </si>
  <si>
    <t>Expresión matemática</t>
  </si>
  <si>
    <t>(1/3+2/5+1/30)/(23/30)</t>
  </si>
  <si>
    <t>(4 1/2 - 3 2/3 + 1/4)/(2-1/5)</t>
  </si>
  <si>
    <t>(1/10 + 1/100 - 1/1000)/10</t>
  </si>
  <si>
    <t>(2/5+3/10-1/20)/(2/3+1/9+5/6)</t>
  </si>
  <si>
    <t>(4 1/7 - 2 1/14+ 3 1/2)/(6 2/3 + 5 5/9-10 1/18)</t>
  </si>
  <si>
    <t>(3/4+(5/6)*(3/5))/(1/2-(2/7)*(7/5))</t>
  </si>
  <si>
    <t>(7/8+ 1 1/4-(3/2)*(4/9))/(2 1/2 - 1 1/10 + (1/14)*(7/5))</t>
  </si>
  <si>
    <t>((3/5+1/8-7/24)*3 1/13)/(5 - 2/3)</t>
  </si>
  <si>
    <t>(1/10+2/25+3/40)*(1/6)/(1/8-1/12)</t>
  </si>
  <si>
    <t>(5 7/36- 4 1/18+ 1 1/72)*36/(78 - 1/2)</t>
  </si>
  <si>
    <t>(6 1/8 - 1/20 - 1/55)/(2/7)/((1/3-1/12)* 4 4/5)</t>
  </si>
  <si>
    <t>(9/(1/(1/3))*4/5)*(5/12)/(6/(1/(1/2)))</t>
  </si>
  <si>
    <t>(2/(3/5)+4/(6/7))/(1/(1/5)-1/(1/3))</t>
  </si>
  <si>
    <t>(1/(1/3)-1/(1/2))/(2/(1/5)+4/(1/10))</t>
  </si>
  <si>
    <t>((1/2)/(1/3)+(1/4)/(1/5)-(1/5)/(1/6))/((1/6)/(1/7)+(1/4)/(1/8)-(1/8)/(1/9))</t>
  </si>
  <si>
    <t>((2-1/3)/8+(5/6)/3 )/(((5/(1/8))*((1/5)/(1/10))</t>
  </si>
  <si>
    <t>((3/4)/(1/6)+ (5 2/3)/(1/12))/(6+(8-1/4))+3</t>
  </si>
  <si>
    <t>(8/(1/4)+2-(1/2)/(1/4))/(3/((5/3)*(6/5)))</t>
  </si>
  <si>
    <t>((1+1/2)/3+(1-1/3)/2)*(23 1/2/(47/12))/(2 1/2/(5/6)-(1/3)/(1/6))</t>
  </si>
  <si>
    <t>((2-2/5)/(4/5)+(3-1/3)/(4/3))*((7/20)*(11/2))/((4-1/4)/(1/2)+(5-1/5)/24)</t>
  </si>
  <si>
    <t>(1/(1-1/5)+1/(1-1/6))*(1/7+2/49-62/343)/(1/(1-1/3)-1/(1-1/8))</t>
  </si>
  <si>
    <t>1+3/(2+4/(1-1/4))</t>
  </si>
  <si>
    <t>2+5/(2+1/(3+1/8))</t>
  </si>
  <si>
    <t>3+1/(3+1/(1-1/3))</t>
  </si>
  <si>
    <t>5+2/(1+(1/2)/(2-1/4))</t>
  </si>
  <si>
    <t>5/(6+(1/3-1/5)/3)</t>
  </si>
  <si>
    <t>=7/1,152</t>
  </si>
  <si>
    <t>Ejercicio 166</t>
  </si>
  <si>
    <t>Cocientes incompletos</t>
  </si>
  <si>
    <t>Ejercicio 167</t>
  </si>
  <si>
    <t>Cociente incompleto 1</t>
  </si>
  <si>
    <t>Cociente incompleto  2</t>
  </si>
  <si>
    <t>Cociente incompleto 3</t>
  </si>
  <si>
    <t>Cociente incompleto 4</t>
  </si>
  <si>
    <t>Cociente incompleto 5</t>
  </si>
  <si>
    <t>Cociente incompletos 6</t>
  </si>
  <si>
    <t>Primera reducida</t>
  </si>
  <si>
    <t>Segunda reducida</t>
  </si>
  <si>
    <t>Tercera reducida</t>
  </si>
  <si>
    <t>Cuarta reducida</t>
  </si>
  <si>
    <t>Quinta reducida</t>
  </si>
  <si>
    <t>Sexta reducida</t>
  </si>
  <si>
    <t>Ejercicio 128</t>
  </si>
  <si>
    <t>Sustraendo</t>
  </si>
  <si>
    <t>Diferencia</t>
  </si>
  <si>
    <t>Comprobación del Ejercicio 166</t>
  </si>
  <si>
    <t>Cociente incompletos 7</t>
  </si>
  <si>
    <t>Cociente incompletos 8</t>
  </si>
  <si>
    <t>Séptima reducida</t>
  </si>
  <si>
    <t>Octava reducida</t>
  </si>
  <si>
    <t>=109/10,000</t>
  </si>
  <si>
    <t>=17  703/1,056</t>
  </si>
  <si>
    <t>Comparación con la unidad</t>
  </si>
  <si>
    <t>Problema 13 del Ejercicio 97</t>
  </si>
  <si>
    <t>Problema 14 del Ejercicio 97</t>
  </si>
  <si>
    <t>Problema 15 del Ejercicio 97</t>
  </si>
  <si>
    <t>Cantidad a añadir para igualar a la unidad</t>
  </si>
  <si>
    <t>Exceso respecto a  la unidad</t>
  </si>
  <si>
    <t>Problema 16 del Ejercicio 97</t>
  </si>
  <si>
    <t>Menor quebrado</t>
  </si>
  <si>
    <t>Mayor quebrado</t>
  </si>
  <si>
    <t>Problema 17 del Ejercicio 97</t>
  </si>
  <si>
    <t>Aumento</t>
  </si>
  <si>
    <t>Nuevo Quebrado</t>
  </si>
  <si>
    <t>Problema 18 del Ejercicio 97</t>
  </si>
  <si>
    <t>Disminución</t>
  </si>
  <si>
    <t xml:space="preserve"> Ejercicio 97</t>
  </si>
  <si>
    <t>2a</t>
  </si>
  <si>
    <t>Fracción 1</t>
  </si>
  <si>
    <t>Fracción 2</t>
  </si>
  <si>
    <t>2b</t>
  </si>
  <si>
    <t>2c</t>
  </si>
  <si>
    <t>3a</t>
  </si>
  <si>
    <t>3b</t>
  </si>
  <si>
    <t>3c</t>
  </si>
  <si>
    <t>4a</t>
  </si>
  <si>
    <t>4b</t>
  </si>
  <si>
    <t>5a</t>
  </si>
  <si>
    <t>5b</t>
  </si>
  <si>
    <t>5c</t>
  </si>
  <si>
    <t>6a</t>
  </si>
  <si>
    <t>6b</t>
  </si>
  <si>
    <t>6c</t>
  </si>
  <si>
    <t>7a</t>
  </si>
  <si>
    <t>7b</t>
  </si>
  <si>
    <t>Ejercicio 98</t>
  </si>
  <si>
    <t>Faltante para la unidad</t>
  </si>
  <si>
    <t>Excedente de la unidad</t>
  </si>
  <si>
    <t>Quebrado 1</t>
  </si>
  <si>
    <t>Quebrado 2</t>
  </si>
  <si>
    <t>Quebrado 3</t>
  </si>
  <si>
    <t>Quebrado 4</t>
  </si>
  <si>
    <t>Quebrados ordenados de menor a mayor</t>
  </si>
  <si>
    <t>8a</t>
  </si>
  <si>
    <t>8b</t>
  </si>
  <si>
    <t>9a</t>
  </si>
  <si>
    <t>9b</t>
  </si>
  <si>
    <t>10a</t>
  </si>
  <si>
    <t>10b</t>
  </si>
  <si>
    <t>Observación</t>
  </si>
  <si>
    <t>Leer en orden inverso</t>
  </si>
  <si>
    <t>Dismunuye</t>
  </si>
  <si>
    <t>Aumenta</t>
  </si>
  <si>
    <t>Disminuye</t>
  </si>
  <si>
    <t>1a</t>
  </si>
  <si>
    <t>1b</t>
  </si>
  <si>
    <t>5 veces mayor</t>
  </si>
  <si>
    <t xml:space="preserve">Menor </t>
  </si>
  <si>
    <t>No varía</t>
  </si>
  <si>
    <t>14/28</t>
  </si>
  <si>
    <t>Igual a 1/2</t>
  </si>
  <si>
    <t>2/3</t>
  </si>
  <si>
    <t>8/12</t>
  </si>
  <si>
    <t>16/24</t>
  </si>
  <si>
    <t>Son iguales</t>
  </si>
  <si>
    <t>Iguales a 2/3</t>
  </si>
  <si>
    <t>3/15</t>
  </si>
  <si>
    <t>27/135</t>
  </si>
  <si>
    <t>6/30</t>
  </si>
  <si>
    <t xml:space="preserve">Número </t>
  </si>
  <si>
    <t>Complemento</t>
  </si>
  <si>
    <t>Ejercicio 37</t>
  </si>
  <si>
    <t>Complemento del sustraendo</t>
  </si>
  <si>
    <t>Número a restar</t>
  </si>
  <si>
    <t>Complemento 1</t>
  </si>
  <si>
    <t>Número a restar 1</t>
  </si>
  <si>
    <t>Complemento 2</t>
  </si>
  <si>
    <t>Complemento 3</t>
  </si>
  <si>
    <t>Complemento 4</t>
  </si>
  <si>
    <t>Número a restar 2</t>
  </si>
  <si>
    <t>Número a restar 3</t>
  </si>
  <si>
    <t>Número a restar 4</t>
  </si>
  <si>
    <t>Ejercicio 38</t>
  </si>
  <si>
    <t>Ejercicio 39</t>
  </si>
  <si>
    <t>Término a restar 4</t>
  </si>
  <si>
    <t>Término a sumar 1</t>
  </si>
  <si>
    <t>Término a sumar 2</t>
  </si>
  <si>
    <t>Término a sumar 3</t>
  </si>
  <si>
    <t>Término a restar 1</t>
  </si>
  <si>
    <t>Término a restar 2</t>
  </si>
  <si>
    <t>Término a restar 3</t>
  </si>
  <si>
    <t>Ejercicio 17</t>
  </si>
  <si>
    <t>Número romano</t>
  </si>
  <si>
    <t>Ejercicio 16</t>
  </si>
  <si>
    <t>Ejercicio 18</t>
  </si>
  <si>
    <t>4c</t>
  </si>
  <si>
    <t>Base</t>
  </si>
  <si>
    <t>Logaritmo</t>
  </si>
  <si>
    <t>Ejercicio 75</t>
  </si>
  <si>
    <t>Observaciones</t>
  </si>
  <si>
    <t>No es natural</t>
  </si>
  <si>
    <t>+ 1 = 6</t>
  </si>
  <si>
    <t>- 1 = 2</t>
  </si>
  <si>
    <t>Índice</t>
  </si>
  <si>
    <t>Raíz</t>
  </si>
  <si>
    <t>Ejercicio 72</t>
  </si>
  <si>
    <t>Expresión</t>
  </si>
  <si>
    <t>2^0*2</t>
  </si>
  <si>
    <t>3^0*5^4</t>
  </si>
  <si>
    <t>4^2*3^2</t>
  </si>
  <si>
    <t>5^0*3^7*6^0</t>
  </si>
  <si>
    <t>2^0*3^0*4^0*5^0</t>
  </si>
  <si>
    <t>3^3*4^2*5^4</t>
  </si>
  <si>
    <t>2^10*10^2*8^0</t>
  </si>
  <si>
    <t>6^2*9^0*2^10</t>
  </si>
  <si>
    <t>3^0/(2^2*3^2)</t>
  </si>
  <si>
    <t>5^3/3^0</t>
  </si>
  <si>
    <t>3^2*3^0/9</t>
  </si>
  <si>
    <t>2^4*5^2/(5^0*4^2)</t>
  </si>
  <si>
    <t>3^4*2^0/(9^2*2^0)</t>
  </si>
  <si>
    <t>5^5*2^3/(10^2*5^0)</t>
  </si>
  <si>
    <t>3^0*5^2/4^0</t>
  </si>
  <si>
    <t>3^3*2^2-3^0*4^0</t>
  </si>
  <si>
    <t>8*5^0-5^0</t>
  </si>
  <si>
    <t>2^0*3^0+5^0+4*6^0</t>
  </si>
  <si>
    <t>Cuadrado</t>
  </si>
  <si>
    <t>Cubo</t>
  </si>
  <si>
    <t>Cuadrados y cubos de números</t>
  </si>
  <si>
    <t>Ejercicio 73</t>
  </si>
  <si>
    <t>3^2*3</t>
  </si>
  <si>
    <t>2^2*2^3*2^4</t>
  </si>
  <si>
    <t>3*3^2*3^3*3^4</t>
  </si>
  <si>
    <t>3^5/3^5</t>
  </si>
  <si>
    <t>2^8/2^3</t>
  </si>
  <si>
    <t>(2^4*2)/2^2</t>
  </si>
  <si>
    <t>(5^5*5^3*5^6)/5^14</t>
  </si>
  <si>
    <t>(2^8*2^5)/(2^10*2^3)</t>
  </si>
  <si>
    <t>(3^5*3^6*3^15)/(3^9*3^14)</t>
  </si>
  <si>
    <t>Ejercicio 74</t>
  </si>
  <si>
    <t>Ejercicio 181</t>
  </si>
  <si>
    <t>Fracción decimal</t>
  </si>
  <si>
    <t>Tipo de fracción</t>
  </si>
  <si>
    <t>24/96</t>
  </si>
  <si>
    <t>105/140</t>
  </si>
  <si>
    <t>6/111</t>
  </si>
  <si>
    <t>Exacta</t>
  </si>
  <si>
    <t>Periódica pura</t>
  </si>
  <si>
    <t>Periódica mixta</t>
  </si>
  <si>
    <t>Ejercicio 182</t>
  </si>
  <si>
    <t>0.777…</t>
  </si>
  <si>
    <t>0.1333…</t>
  </si>
  <si>
    <t>0.1717…</t>
  </si>
  <si>
    <t>0.178178…</t>
  </si>
  <si>
    <t>0.45111…</t>
  </si>
  <si>
    <t>0.1981616…</t>
  </si>
  <si>
    <t>9.78102793…</t>
  </si>
  <si>
    <t>0.99102557…</t>
  </si>
  <si>
    <t>0.03390972…</t>
  </si>
  <si>
    <t>No periódica</t>
  </si>
  <si>
    <t>3.33345345…</t>
  </si>
  <si>
    <t>2.654886…</t>
  </si>
  <si>
    <t>.000111…</t>
  </si>
  <si>
    <t>0.0109898…</t>
  </si>
  <si>
    <t>0.12341234…</t>
  </si>
  <si>
    <t>0.333…</t>
  </si>
  <si>
    <t>0.1666…</t>
  </si>
  <si>
    <t>0.111…</t>
  </si>
  <si>
    <t>0.666…</t>
  </si>
  <si>
    <t>0.41666…</t>
  </si>
  <si>
    <t>0.6363…</t>
  </si>
  <si>
    <t>0.003003…</t>
  </si>
  <si>
    <t>0.054054…</t>
  </si>
  <si>
    <t>0.017567567…</t>
  </si>
  <si>
    <t>0.142857142857…</t>
  </si>
  <si>
    <t>0.001818…</t>
  </si>
  <si>
    <t>0.765765…</t>
  </si>
  <si>
    <t>Ejercicio 183</t>
  </si>
  <si>
    <t>(0.875+5.4-1.25)/(1.1+2.6-1.1875)</t>
  </si>
  <si>
    <t>(0.2+0.166+.072)/(0.1+0.77+0.006)</t>
  </si>
  <si>
    <t>(0.5+.125)/(0.75-0.125)</t>
  </si>
  <si>
    <t>((0.18+1.76-0.002)/0.002)/((0.125+0.108+.09)/0.001)</t>
  </si>
  <si>
    <t>(0.0625/0.5+0.05/0.4)/(0.04/0.04+0.02/0.02)</t>
  </si>
  <si>
    <t>((3.5-2.125+0.16)*1.5)/((1.75+1.6-1.1)+0.0525)</t>
  </si>
  <si>
    <t>(0.4/0.1+0.6/0.2+0.8/0.4)/(0.16/0.08+0.64/0.16-0.15/0.05)</t>
  </si>
  <si>
    <t>((0.35+.02)+(0.75+0.18))/((0.8+0.7)+3.7)</t>
  </si>
  <si>
    <t>Quebrado reducido</t>
  </si>
  <si>
    <t>2/6</t>
  </si>
  <si>
    <t>3/30</t>
  </si>
  <si>
    <t>5/35</t>
  </si>
  <si>
    <t>6/18</t>
  </si>
  <si>
    <t>33/55</t>
  </si>
  <si>
    <t>16/46</t>
  </si>
  <si>
    <t>140/420</t>
  </si>
  <si>
    <t>36/108</t>
  </si>
  <si>
    <t>3000/4500</t>
  </si>
  <si>
    <t>1000/14000</t>
  </si>
  <si>
    <t>Ejercicio 184</t>
  </si>
  <si>
    <t>Ejercicio 185</t>
  </si>
  <si>
    <t>Ejercicio 186</t>
  </si>
  <si>
    <t>0.33….</t>
  </si>
  <si>
    <t>Generatriz</t>
  </si>
  <si>
    <t>0.44…</t>
  </si>
  <si>
    <t>Generatriz simplificada</t>
  </si>
  <si>
    <t>0.66…</t>
  </si>
  <si>
    <t>4/9</t>
  </si>
  <si>
    <t>6/9</t>
  </si>
  <si>
    <t>0.1212…</t>
  </si>
  <si>
    <t>0.1515..</t>
  </si>
  <si>
    <t>12/99</t>
  </si>
  <si>
    <t>3/9</t>
  </si>
  <si>
    <t>15/99</t>
  </si>
  <si>
    <t>0.1818…</t>
  </si>
  <si>
    <t>0.2020…</t>
  </si>
  <si>
    <t>0.8181…</t>
  </si>
  <si>
    <t>0.123123…</t>
  </si>
  <si>
    <t>0.156156…</t>
  </si>
  <si>
    <t>0.143143…</t>
  </si>
  <si>
    <t>18/99</t>
  </si>
  <si>
    <t>20/99</t>
  </si>
  <si>
    <t>81/99</t>
  </si>
  <si>
    <t>123/999</t>
  </si>
  <si>
    <t>156/999</t>
  </si>
  <si>
    <t>143/999</t>
  </si>
  <si>
    <t>0.18961896…</t>
  </si>
  <si>
    <t>1896/9999</t>
  </si>
  <si>
    <t>3/999</t>
  </si>
  <si>
    <t>1.0505…</t>
  </si>
  <si>
    <t>1 5/99</t>
  </si>
  <si>
    <t>1.7272…</t>
  </si>
  <si>
    <t>1 72/99</t>
  </si>
  <si>
    <t>2.009009…</t>
  </si>
  <si>
    <t>2 9/999</t>
  </si>
  <si>
    <t>3.00450045…</t>
  </si>
  <si>
    <t>3 45/9999</t>
  </si>
  <si>
    <t>4.186186…</t>
  </si>
  <si>
    <t>4 186/999</t>
  </si>
  <si>
    <t>5.018018…</t>
  </si>
  <si>
    <t>5 18/999</t>
  </si>
  <si>
    <t>6.00060006…</t>
  </si>
  <si>
    <t>6 6/99999</t>
  </si>
  <si>
    <t>0.355….</t>
  </si>
  <si>
    <t>(35-3)/90</t>
  </si>
  <si>
    <t>0.644…</t>
  </si>
  <si>
    <t>0.988…</t>
  </si>
  <si>
    <t>(64-6)/90</t>
  </si>
  <si>
    <t>(98-9)/90</t>
  </si>
  <si>
    <t>(13-1)/90</t>
  </si>
  <si>
    <t>0.133...</t>
  </si>
  <si>
    <t>0.6655…</t>
  </si>
  <si>
    <t>0.1244…</t>
  </si>
  <si>
    <t>0.3622…</t>
  </si>
  <si>
    <t>0.1844…</t>
  </si>
  <si>
    <t>0.2366…</t>
  </si>
  <si>
    <t>0.0011818…</t>
  </si>
  <si>
    <t>0.124356356…</t>
  </si>
  <si>
    <t>0.451201201…</t>
  </si>
  <si>
    <t>1.033…</t>
  </si>
  <si>
    <t>1.766…</t>
  </si>
  <si>
    <t>1.031515…</t>
  </si>
  <si>
    <t>2.014545…</t>
  </si>
  <si>
    <t>3.6112112…</t>
  </si>
  <si>
    <t>4.09912912…</t>
  </si>
  <si>
    <t>(665-66)/900</t>
  </si>
  <si>
    <t>(124-12)/900</t>
  </si>
  <si>
    <t>(362-36)/900</t>
  </si>
  <si>
    <t>(184-18)/900</t>
  </si>
  <si>
    <t>(236-23)/900</t>
  </si>
  <si>
    <t>0.51919…</t>
  </si>
  <si>
    <t>(519-5)/990</t>
  </si>
  <si>
    <t>0.012323…</t>
  </si>
  <si>
    <t>(124356-124)/999000</t>
  </si>
  <si>
    <t>1  (76-7)/99</t>
  </si>
  <si>
    <t>1  3/90</t>
  </si>
  <si>
    <t>1  (315-3)/9900</t>
  </si>
  <si>
    <t>2  (145-1)/9900</t>
  </si>
  <si>
    <t>3  (6112-6)/9990</t>
  </si>
  <si>
    <t>4  (9912-9)/99900</t>
  </si>
  <si>
    <t>(451201-451)/999000</t>
  </si>
  <si>
    <t>(123-1)/9900</t>
  </si>
  <si>
    <t>(118-1)/99000</t>
  </si>
  <si>
    <t xml:space="preserve"> 8/10</t>
  </si>
  <si>
    <t>146/1000</t>
  </si>
  <si>
    <t>2/100</t>
  </si>
  <si>
    <t>36/10000</t>
  </si>
  <si>
    <t>8/1000</t>
  </si>
  <si>
    <t>185/1000</t>
  </si>
  <si>
    <t>0.4646…</t>
  </si>
  <si>
    <t>46/99</t>
  </si>
  <si>
    <t>0.3636…</t>
  </si>
  <si>
    <t>36/99</t>
  </si>
  <si>
    <t>0.544…</t>
  </si>
  <si>
    <t>(54-5)/90</t>
  </si>
  <si>
    <t>32/100</t>
  </si>
  <si>
    <t>3.55…</t>
  </si>
  <si>
    <t>3 5/9</t>
  </si>
  <si>
    <t>0.143636…</t>
  </si>
  <si>
    <t>(1436-14)/9900</t>
  </si>
  <si>
    <t>(173-17)/900</t>
  </si>
  <si>
    <t>0.17333…</t>
  </si>
  <si>
    <t>0.00540054…</t>
  </si>
  <si>
    <t>54/9999</t>
  </si>
  <si>
    <t>0.1861515…</t>
  </si>
  <si>
    <t>(18615-186)/99000</t>
  </si>
  <si>
    <t>0.144144…</t>
  </si>
  <si>
    <t>144/999</t>
  </si>
  <si>
    <t>0.87611…</t>
  </si>
  <si>
    <t xml:space="preserve"> (8761-876)/9000</t>
  </si>
  <si>
    <t>0.15169169…</t>
  </si>
  <si>
    <t xml:space="preserve"> (15169-15)/99900</t>
  </si>
  <si>
    <t>564/100000</t>
  </si>
  <si>
    <t>6  18/999</t>
  </si>
  <si>
    <t>5.1515…</t>
  </si>
  <si>
    <t>6.018018…</t>
  </si>
  <si>
    <t>5  15/99</t>
  </si>
  <si>
    <t>3  5/100</t>
  </si>
  <si>
    <t>0.060060…</t>
  </si>
  <si>
    <t>60/999</t>
  </si>
  <si>
    <t>4.1344…</t>
  </si>
  <si>
    <t>4   (134-13)/900</t>
  </si>
  <si>
    <t>0.0001515…</t>
  </si>
  <si>
    <t>15/99000</t>
  </si>
  <si>
    <t>14/10000000</t>
  </si>
  <si>
    <t>8.03210321…</t>
  </si>
  <si>
    <t>8  321/9999</t>
  </si>
  <si>
    <t>0.086363…</t>
  </si>
  <si>
    <t>(863-8)/9900</t>
  </si>
  <si>
    <t>6.891616…</t>
  </si>
  <si>
    <t>6   (8916-89)/9900</t>
  </si>
  <si>
    <t>18  326/10000</t>
  </si>
  <si>
    <t>14.66…</t>
  </si>
  <si>
    <t>14  6/9</t>
  </si>
  <si>
    <t>0.096055…</t>
  </si>
  <si>
    <t>(9605-960)/90000</t>
  </si>
  <si>
    <t>15  75/1000</t>
  </si>
  <si>
    <t>0.0885608856…</t>
  </si>
  <si>
    <t>8856/99999</t>
  </si>
  <si>
    <t>1868/10000</t>
  </si>
  <si>
    <t>0.01369346934…</t>
  </si>
  <si>
    <t>(136934-13)/9999000</t>
  </si>
  <si>
    <t>18/1000000</t>
  </si>
  <si>
    <t>864/1000000000</t>
  </si>
  <si>
    <t>5.165165…</t>
  </si>
  <si>
    <t>5 165/999</t>
  </si>
  <si>
    <t>0.894894…</t>
  </si>
  <si>
    <t>894/999</t>
  </si>
  <si>
    <t>0.056893893…</t>
  </si>
  <si>
    <t>(56893-56)/999000</t>
  </si>
  <si>
    <t>9.00360036…</t>
  </si>
  <si>
    <t>9   36/9999</t>
  </si>
  <si>
    <t>0.54323323…</t>
  </si>
  <si>
    <t>(54323-54)/99900</t>
  </si>
  <si>
    <t>21  6/1000</t>
  </si>
  <si>
    <t>4.0088300883…</t>
  </si>
  <si>
    <t>4  883/99999</t>
  </si>
  <si>
    <t>Expresiión matemática</t>
  </si>
  <si>
    <t>Ejercicio 188</t>
  </si>
  <si>
    <t>Ejercicio 187</t>
  </si>
  <si>
    <t>Ejercicio 189</t>
  </si>
  <si>
    <t>(1/2+1/50+1/2)</t>
  </si>
  <si>
    <t>(16/100+21/5-2/3)</t>
  </si>
  <si>
    <t>(15/99-1/33)+(9/99+1/3)</t>
  </si>
  <si>
    <t>(1/4)/(55/100)+1/9+(56/99)</t>
  </si>
  <si>
    <t>((36/99+1/22+3/2)/(3/10))/(1/3)</t>
  </si>
  <si>
    <t>((18/99-1/15)+(36/1000-1/500))/(1/2)</t>
  </si>
  <si>
    <t>(29830-298)/99000</t>
  </si>
  <si>
    <t>(1/4+0.04+1/5)*(3/100)</t>
  </si>
  <si>
    <t>147/10000</t>
  </si>
  <si>
    <t>(22/90+1/3+2/9)*(5/4)/(3+153/999)</t>
  </si>
  <si>
    <t>((18/100)/(6/10)+(15/99)/(10/99)-1/15)/(18/990)</t>
  </si>
  <si>
    <t>((32/10)-(2 1/9)+(3  6/90)((22/10)-(1 15/90)+(2 3/90))</t>
  </si>
  <si>
    <t>(5/90+5/6-1/9)/(19/6)</t>
  </si>
  <si>
    <t>Ejercicio 190</t>
  </si>
  <si>
    <t>3^2*5^2</t>
  </si>
  <si>
    <t>2^2*3^2*4^2</t>
  </si>
  <si>
    <t>3^3*5^3*6^3</t>
  </si>
  <si>
    <t>0.1^2*0.3^2</t>
  </si>
  <si>
    <t>0.1^2*7^2*0.03^2</t>
  </si>
  <si>
    <t>3^3*4^3*0.1^3*0.2^3</t>
  </si>
  <si>
    <t>2^3*0.5^3*5^-3</t>
  </si>
  <si>
    <t>0.1^4*0.2^4*0.4^4</t>
  </si>
  <si>
    <t>4^-4*4^4*2^-4*6^4</t>
  </si>
  <si>
    <t>6 ^2*2^-2*(2/3)^2</t>
  </si>
  <si>
    <t>1/24,300,000</t>
  </si>
  <si>
    <t>Resultado 1</t>
  </si>
  <si>
    <t>Resultado 2</t>
  </si>
  <si>
    <t>Ejercicio 191</t>
  </si>
  <si>
    <t>(2/3)^5*(3/2)^5*(10/3)^5*0.01^5</t>
  </si>
  <si>
    <t>(5/6)^6*(6/5)^6*0.3^6*(20/3)^6</t>
  </si>
  <si>
    <t>1/30^5</t>
  </si>
  <si>
    <t>1   26,281/32,768</t>
  </si>
  <si>
    <t>2  15,406/15,625</t>
  </si>
  <si>
    <t>Ejercicio 193</t>
  </si>
  <si>
    <t xml:space="preserve">Cuadrado 1 </t>
  </si>
  <si>
    <t>Doble producto</t>
  </si>
  <si>
    <t>Cuadrado 2</t>
  </si>
  <si>
    <t>961/1,000,000</t>
  </si>
  <si>
    <t>Ejercicio 194</t>
  </si>
  <si>
    <t>Ejercicio 195</t>
  </si>
  <si>
    <t>Ejercicio 196</t>
  </si>
  <si>
    <t>Cubo 1</t>
  </si>
  <si>
    <t>Cubo2</t>
  </si>
  <si>
    <t>Triple producto 1</t>
  </si>
  <si>
    <t>Triple producto 2</t>
  </si>
  <si>
    <t>Ejercicio 197</t>
  </si>
  <si>
    <t>Ejercicio 198</t>
  </si>
  <si>
    <t>27/1000</t>
  </si>
  <si>
    <t>Ejercicio 199</t>
  </si>
  <si>
    <t>n</t>
  </si>
  <si>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+ 1</t>
    </r>
  </si>
  <si>
    <t>Diferencia de cuadrados</t>
  </si>
  <si>
    <t>Ejercicio 200</t>
  </si>
  <si>
    <r>
      <t>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- 1)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</si>
  <si>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</si>
  <si>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Ejercicio 201</t>
  </si>
  <si>
    <t>Ejercicio 202</t>
  </si>
  <si>
    <r>
      <t>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- 1)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</si>
  <si>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</si>
  <si>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t>Ejercicio 203</t>
  </si>
  <si>
    <t>(2^2)^2</t>
  </si>
  <si>
    <t>(2^2)^3</t>
  </si>
  <si>
    <t>(5^2)^3</t>
  </si>
  <si>
    <t>(1^3)^5</t>
  </si>
  <si>
    <t>(2^3)^4</t>
  </si>
  <si>
    <t>(3^3)^4</t>
  </si>
  <si>
    <t>((1/2)^2)^3</t>
  </si>
  <si>
    <t>(0.01^2)^3</t>
  </si>
  <si>
    <t>((1/4)^2)^4</t>
  </si>
  <si>
    <t>((3^2)^3)^2</t>
  </si>
  <si>
    <t>Diferencia de cubos</t>
  </si>
  <si>
    <t>((2*3)^2)^2</t>
  </si>
  <si>
    <t>((2/3)^2)^3</t>
  </si>
  <si>
    <t>((0.2^2)^2)^4</t>
  </si>
  <si>
    <t>((0.3^2)^3)^2</t>
  </si>
  <si>
    <t>Resultado o numerador</t>
  </si>
  <si>
    <t>((3/5)^2)^3</t>
  </si>
  <si>
    <t>(((2/3)^2)^2)^2</t>
  </si>
  <si>
    <t>Ejercicio 204</t>
  </si>
  <si>
    <t>((3/5)/(6/5))^2</t>
  </si>
  <si>
    <t>((0.2*(2/3))/((1/2)*(1/3)))^3</t>
  </si>
  <si>
    <t>((2^2*3^5*4^2)/(2^4*3^2))^2</t>
  </si>
  <si>
    <t>((2^2)^3*(3^3)^2)/((3^2)^3*(2^3)^4)</t>
  </si>
  <si>
    <t>(((2/3)^4*(3/2)^2)/(2*(1/3)^2))^2</t>
  </si>
  <si>
    <t>((2^3)^3)^2/(4^3)^2</t>
  </si>
  <si>
    <t>((3*0.3*10)/(2*0.2*20))^2</t>
  </si>
  <si>
    <t>(((3/4)*4*(1/6))/((5/6)*6*(1/10)))^3</t>
  </si>
  <si>
    <t>((3^3*(1/3)^3)/(2^3*(1/2)^3*(1/3)^2))^2</t>
  </si>
  <si>
    <t>Ejercicio 205</t>
  </si>
  <si>
    <t>Factores</t>
  </si>
  <si>
    <t>No</t>
  </si>
  <si>
    <t>Sí</t>
  </si>
  <si>
    <t>Raíz cúbica o cuadrada</t>
  </si>
  <si>
    <t>Ejercicio 192</t>
  </si>
  <si>
    <t>2^3*5^3</t>
  </si>
  <si>
    <t>50^4*2^4</t>
  </si>
  <si>
    <t>2^3*5^3*10^3</t>
  </si>
  <si>
    <r>
      <t>10</t>
    </r>
    <r>
      <rPr>
        <vertAlign val="superscript"/>
        <sz val="11"/>
        <color theme="1"/>
        <rFont val="Calibri"/>
        <family val="2"/>
        <scheme val="minor"/>
      </rPr>
      <t>3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</si>
  <si>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8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</si>
  <si>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6</t>
    </r>
  </si>
  <si>
    <t xml:space="preserve"> 8 décimas</t>
  </si>
  <si>
    <t>15 centésimas</t>
  </si>
  <si>
    <t>9 centésimas</t>
  </si>
  <si>
    <t xml:space="preserve"> 3 milésimas</t>
  </si>
  <si>
    <t>15 diezmilésimas</t>
  </si>
  <si>
    <t xml:space="preserve"> 15 cienmilésimas</t>
  </si>
  <si>
    <t xml:space="preserve"> 3 millonésimas</t>
  </si>
  <si>
    <t xml:space="preserve"> 135 diezmillonésimas</t>
  </si>
  <si>
    <t xml:space="preserve"> Una unidad 15 milésimas</t>
  </si>
  <si>
    <t xml:space="preserve"> 7 unidades 123 diezmilésimas</t>
  </si>
  <si>
    <t xml:space="preserve"> 8 unidades 723 cienmilésimas</t>
  </si>
  <si>
    <t xml:space="preserve"> Una unidad 15,678 cienmilésimas</t>
  </si>
  <si>
    <t xml:space="preserve"> 2 unidades 16 millonésimas</t>
  </si>
  <si>
    <t xml:space="preserve"> 4 unidades 98,765 diezmillonésimas</t>
  </si>
  <si>
    <t xml:space="preserve"> 15 unidades 186 millonésimas</t>
  </si>
  <si>
    <t xml:space="preserve"> 19 unidades 18 milmillonésimas</t>
  </si>
  <si>
    <t>Ejercicio 170</t>
  </si>
  <si>
    <t>Nombre del número</t>
  </si>
  <si>
    <t>Ejercicio 224</t>
  </si>
  <si>
    <t>Residuo</t>
  </si>
  <si>
    <t>Raíz cuadrada</t>
  </si>
  <si>
    <t>Ejercicio 225</t>
  </si>
  <si>
    <t>Número entero</t>
  </si>
  <si>
    <t>Ejercicio 226</t>
  </si>
  <si>
    <t>Raiz denominador</t>
  </si>
  <si>
    <t>Ejercicio 227</t>
  </si>
  <si>
    <t>Ejercicio 228</t>
  </si>
  <si>
    <t>Fracción coeficiente</t>
  </si>
  <si>
    <t>Radicando</t>
  </si>
  <si>
    <t>1/150</t>
  </si>
  <si>
    <t>3/100</t>
  </si>
  <si>
    <t>Raiz aproximada</t>
  </si>
  <si>
    <t>Raiz  aproximada</t>
  </si>
  <si>
    <t>Ejercicio 229</t>
  </si>
  <si>
    <t>Ejercicio 230</t>
  </si>
  <si>
    <t>Fracción original</t>
  </si>
  <si>
    <t>Ejercicio 118</t>
  </si>
  <si>
    <t>Ejercicio 119</t>
  </si>
  <si>
    <t>Ejercicio 120</t>
  </si>
  <si>
    <t>Ejercicio 121</t>
  </si>
  <si>
    <t>Ejercicio 123</t>
  </si>
  <si>
    <t>Ejercicio 124</t>
  </si>
  <si>
    <t>Ejercicio 125</t>
  </si>
  <si>
    <t>Ejercicio 126</t>
  </si>
  <si>
    <t>Ejercicio 127</t>
  </si>
  <si>
    <t>Ejercicio 129</t>
  </si>
  <si>
    <t xml:space="preserve">Ejercicio 130 </t>
  </si>
  <si>
    <t>Ejercicio 131</t>
  </si>
  <si>
    <t>Ejercicio 133</t>
  </si>
  <si>
    <t>Ejercicio 134</t>
  </si>
  <si>
    <t>Ejercicio 135</t>
  </si>
  <si>
    <t>Ejercicio 136</t>
  </si>
  <si>
    <t>Ejercicio 137</t>
  </si>
  <si>
    <t>Ejercicio 138</t>
  </si>
  <si>
    <t>Ejercicio 140</t>
  </si>
  <si>
    <t>Ejercicio 141</t>
  </si>
  <si>
    <t>Ejercicio 142</t>
  </si>
  <si>
    <t>Ejercicio 143</t>
  </si>
  <si>
    <t xml:space="preserve">Problema </t>
  </si>
  <si>
    <t xml:space="preserve">Expresión aritmética </t>
  </si>
  <si>
    <t xml:space="preserve">Solución </t>
  </si>
  <si>
    <t>Expresión aritmética</t>
  </si>
  <si>
    <t>Solución</t>
  </si>
  <si>
    <t xml:space="preserve">Expresión arimética </t>
  </si>
  <si>
    <t xml:space="preserve">Factor 3 </t>
  </si>
  <si>
    <t>Factor 4</t>
  </si>
  <si>
    <t>1/3+2/3</t>
  </si>
  <si>
    <t>2/3+5/6</t>
  </si>
  <si>
    <t>3 1/4+5 3/4</t>
  </si>
  <si>
    <t>7 +8/7</t>
  </si>
  <si>
    <t>4/5-1/5</t>
  </si>
  <si>
    <t>1/2-1/6</t>
  </si>
  <si>
    <t>8-2/3</t>
  </si>
  <si>
    <t>6 5/6-3 1/6</t>
  </si>
  <si>
    <t>9-4 1/2</t>
  </si>
  <si>
    <t>16 3/5-6</t>
  </si>
  <si>
    <t>2/3+5/6-1/12</t>
  </si>
  <si>
    <t>3+3/5-1/8</t>
  </si>
  <si>
    <t>3/8-(1/6+1/12)</t>
  </si>
  <si>
    <t>2/3*3/2</t>
  </si>
  <si>
    <t>1 1/2*1 2/3</t>
  </si>
  <si>
    <t>3*1/3*3/5</t>
  </si>
  <si>
    <t>(3/5*1/3)*5 1/16</t>
  </si>
  <si>
    <t>2/3*12</t>
  </si>
  <si>
    <t>(3/5)/(7/10)</t>
  </si>
  <si>
    <t>8/(1/2)</t>
  </si>
  <si>
    <t>(1 1/2)/(2 1/3)</t>
  </si>
  <si>
    <t>((1/2)/((3/4))/(3/2)</t>
  </si>
  <si>
    <t>2/5+3/5+4/5</t>
  </si>
  <si>
    <t>5/12+7/24</t>
  </si>
  <si>
    <t>8 3/7+6 5/7</t>
  </si>
  <si>
    <t>18+6/5</t>
  </si>
  <si>
    <t>11/14-5/14</t>
  </si>
  <si>
    <t>3/5-1/10</t>
  </si>
  <si>
    <t>9-9/10</t>
  </si>
  <si>
    <t>7 3/5-4 3/10</t>
  </si>
  <si>
    <t>12-1 7/9</t>
  </si>
  <si>
    <t>1 7/8-1</t>
  </si>
  <si>
    <t>3/4-5/8+7/12</t>
  </si>
  <si>
    <t>6+1 1/3-2/5</t>
  </si>
  <si>
    <t>4 1/2+(3/5-1/6)</t>
  </si>
  <si>
    <t>4/5*10/9</t>
  </si>
  <si>
    <t>3 1/4*1 1/13</t>
  </si>
  <si>
    <t>2 1/2*1/5*2</t>
  </si>
  <si>
    <t>16*(14 1/16*5 1/6)</t>
  </si>
  <si>
    <t>5/6*42</t>
  </si>
  <si>
    <t>(5/6)/(2/3)</t>
  </si>
  <si>
    <t>15/(3/4)</t>
  </si>
  <si>
    <t>(2 1/3)/(3 1/2)</t>
  </si>
  <si>
    <t>((3 2/5)/(17/3))*1 2/3</t>
  </si>
  <si>
    <t>3/8+5/8+2/8</t>
  </si>
  <si>
    <t>5/8+11/64</t>
  </si>
  <si>
    <t>9 3/5+4 1/10</t>
  </si>
  <si>
    <t>14/12+60</t>
  </si>
  <si>
    <t>17/20-7/20</t>
  </si>
  <si>
    <t>7/12-1/4</t>
  </si>
  <si>
    <t>13-7/8</t>
  </si>
  <si>
    <t>8 5/6-5 1/12</t>
  </si>
  <si>
    <t>10-5 3/4</t>
  </si>
  <si>
    <t>18 2/9-6</t>
  </si>
  <si>
    <t>7/12+5/9-4/24</t>
  </si>
  <si>
    <t>9-5 1/6+4 1/12</t>
  </si>
  <si>
    <t>7 1/4-(4-1/2)</t>
  </si>
  <si>
    <t>7/8*16/21</t>
  </si>
  <si>
    <t>5 1/4*2 2/9</t>
  </si>
  <si>
    <t>3 1/4*2/13*1/3</t>
  </si>
  <si>
    <t>(1/2-1/3)*6</t>
  </si>
  <si>
    <t>7/8*108</t>
  </si>
  <si>
    <t>(7/8)/(14/9)</t>
  </si>
  <si>
    <t>9/(2/3)</t>
  </si>
  <si>
    <t>(3 1/4)/(4 1/3)</t>
  </si>
  <si>
    <t>(1/3+2/30)/(1/6)</t>
  </si>
  <si>
    <t>2/9+5/9+7/9</t>
  </si>
  <si>
    <t>7/24+11/30</t>
  </si>
  <si>
    <t>7 1/8+3 5/24</t>
  </si>
  <si>
    <t>14+5 2/3</t>
  </si>
  <si>
    <t>8/15-3/15</t>
  </si>
  <si>
    <t>11/8-7/24</t>
  </si>
  <si>
    <t>16-1/11</t>
  </si>
  <si>
    <t>9 7/8-2 5/24</t>
  </si>
  <si>
    <t>14-13 15/17</t>
  </si>
  <si>
    <t>20 3/4-14</t>
  </si>
  <si>
    <t>11/15-7/30+3/10</t>
  </si>
  <si>
    <t>35-1/8-3/24</t>
  </si>
  <si>
    <t>3 5/8-(2 3/4+1/8)</t>
  </si>
  <si>
    <t>52/24*4/13</t>
  </si>
  <si>
    <t>6 2/7*1 3/11</t>
  </si>
  <si>
    <t>5/6*9/7*2 1/3</t>
  </si>
  <si>
    <t>(1/2+3/4)*1/5</t>
  </si>
  <si>
    <t>2/9*13</t>
  </si>
  <si>
    <t>(3/5)/(6/7)</t>
  </si>
  <si>
    <t>6/(5/6)</t>
  </si>
  <si>
    <t>(5 1/4)/(6 1/5)</t>
  </si>
  <si>
    <t>(8+3/4)/(4 1/5)</t>
  </si>
  <si>
    <t>3/11+7/11+12/11</t>
  </si>
  <si>
    <t>8/26+15/39</t>
  </si>
  <si>
    <t>12 5/6+13 7/9</t>
  </si>
  <si>
    <t>8 1/4+6+3/8</t>
  </si>
  <si>
    <t>9/16-5/16</t>
  </si>
  <si>
    <t>3/7-2/49</t>
  </si>
  <si>
    <t>25-2/13</t>
  </si>
  <si>
    <t>10 5/6-2 7/9</t>
  </si>
  <si>
    <t>16-2 7/10</t>
  </si>
  <si>
    <t>27 17/19-16</t>
  </si>
  <si>
    <t>6/9+15/25-8/15</t>
  </si>
  <si>
    <t>80-3 3/5-4 3/10</t>
  </si>
  <si>
    <t>9-(1/2-1/3)</t>
  </si>
  <si>
    <t>18/15*90/36</t>
  </si>
  <si>
    <t>3 1/6*2 4/19</t>
  </si>
  <si>
    <t>1 1/2*1 2/3*6/35</t>
  </si>
  <si>
    <t>(1-3/8)*1 3/5</t>
  </si>
  <si>
    <t>11/12*96</t>
  </si>
  <si>
    <t>(8/9)/(4/3)</t>
  </si>
  <si>
    <t>7/(3/5)</t>
  </si>
  <si>
    <t>(7 1/6)/(8 1/7)</t>
  </si>
  <si>
    <t>(4-1/3)/(11/6)</t>
  </si>
  <si>
    <t>3/4+1/4+5/4+7/4</t>
  </si>
  <si>
    <t>5/4+7/8+1/16</t>
  </si>
  <si>
    <t xml:space="preserve">1 1/10+ 1 1/100 </t>
  </si>
  <si>
    <t>3/48+10+3 1/5+8</t>
  </si>
  <si>
    <t>24/35-10/35</t>
  </si>
  <si>
    <t>3/8-1/12</t>
  </si>
  <si>
    <t>30-7/24</t>
  </si>
  <si>
    <t>12 2/3-7 1/11</t>
  </si>
  <si>
    <t>18-3 3/11</t>
  </si>
  <si>
    <t>35 23/25-18</t>
  </si>
  <si>
    <t>5/6-1/90+4/7</t>
  </si>
  <si>
    <t>6 1/15-4 1/30+7/25</t>
  </si>
  <si>
    <t>1/6+(1/2-1/8)</t>
  </si>
  <si>
    <t>21/22*11/49</t>
  </si>
  <si>
    <t>8 1/9*1 2/73</t>
  </si>
  <si>
    <t>7/9*(2 1/4)*18/35</t>
  </si>
  <si>
    <t>72*(7/8+2/9)</t>
  </si>
  <si>
    <t>9/17*51</t>
  </si>
  <si>
    <t>(6/11)/(5/22)</t>
  </si>
  <si>
    <t>26/(1/8)</t>
  </si>
  <si>
    <t>(2 3/5)/(3 9/10)</t>
  </si>
  <si>
    <t>(5 1/4-4)/(1 1/2)</t>
  </si>
  <si>
    <t>1/6+7/6+11/6+13/6</t>
  </si>
  <si>
    <t>1/2+1/4+1/8</t>
  </si>
  <si>
    <t>5 1/8+6 3/20</t>
  </si>
  <si>
    <t>6+2 1/30+5+7 1/45</t>
  </si>
  <si>
    <t>19/42-12/42</t>
  </si>
  <si>
    <t>7/6-7/8</t>
  </si>
  <si>
    <t>32-17/80</t>
  </si>
  <si>
    <t>6 23/30-2 7/40</t>
  </si>
  <si>
    <t>20-4 1/20</t>
  </si>
  <si>
    <t>40 2/11-17</t>
  </si>
  <si>
    <t>4/41+7/82-1/6</t>
  </si>
  <si>
    <t>7/20+3 1/16-2 1/5</t>
  </si>
  <si>
    <t>50-(6-1/5)</t>
  </si>
  <si>
    <t>13/4*72/39</t>
  </si>
  <si>
    <t>14 4/5*5 5/6</t>
  </si>
  <si>
    <t>11/12*24*7/121</t>
  </si>
  <si>
    <t>(5 2/3-2/9)*3</t>
  </si>
  <si>
    <t>3/4*81</t>
  </si>
  <si>
    <t>(5/12)/(3/4)</t>
  </si>
  <si>
    <t>21/(42/5)</t>
  </si>
  <si>
    <t>(1 6/11)/(1 5/6)</t>
  </si>
  <si>
    <t>((5/6)/(3 1/4))/(1 2/3)</t>
  </si>
  <si>
    <t>5/7+8/7+10/7+15/7</t>
  </si>
  <si>
    <t>7/5+8/15+11/60</t>
  </si>
  <si>
    <t>8 7/20+5 11/25</t>
  </si>
  <si>
    <t>2 1/20+3 5/40+9+7/36</t>
  </si>
  <si>
    <t>7/8-5/8-1/8</t>
  </si>
  <si>
    <t>11/10-14/15</t>
  </si>
  <si>
    <t>81-1/90</t>
  </si>
  <si>
    <t>11 3/8-5 1/24</t>
  </si>
  <si>
    <t>21-5 1/30</t>
  </si>
  <si>
    <t>31 3/82-30</t>
  </si>
  <si>
    <t>11/26+9/91-3/39</t>
  </si>
  <si>
    <t>9 2/3+5 7/48-1/60</t>
  </si>
  <si>
    <t>27-(3 3/8-2 1/4)</t>
  </si>
  <si>
    <t>24/102*51/72</t>
  </si>
  <si>
    <t>1 1/2*1 1/3*1 1/5</t>
  </si>
  <si>
    <t>5/9*7/8*4 1/3*4/35</t>
  </si>
  <si>
    <t>(4+2 3/5)*1/66</t>
  </si>
  <si>
    <t>3/5*1/3</t>
  </si>
  <si>
    <t>(11/14)/(7/22)</t>
  </si>
  <si>
    <t>52/(14/65)</t>
  </si>
  <si>
    <t>(1 1/8)/(3 3/5)</t>
  </si>
  <si>
    <t>(3/5)/(2/3+5/6)</t>
  </si>
  <si>
    <t>3/17+8/17+11/17+23/17</t>
  </si>
  <si>
    <t>9/10+8/15+13/75</t>
  </si>
  <si>
    <t>3 1/65+11 1/26</t>
  </si>
  <si>
    <t>7/45+4+11/60+2 1/90</t>
  </si>
  <si>
    <t>11/12-7/12-4/12</t>
  </si>
  <si>
    <t>11/12-7/16</t>
  </si>
  <si>
    <t>93-45/83</t>
  </si>
  <si>
    <t>19 5/7-12 8/105</t>
  </si>
  <si>
    <t>31- 6 2/35</t>
  </si>
  <si>
    <t>42 3/65-19</t>
  </si>
  <si>
    <t>31/108-43/120+59/150</t>
  </si>
  <si>
    <t>1739/5400</t>
  </si>
  <si>
    <t>8 3/7+4 3/56-1/98</t>
  </si>
  <si>
    <t>7 3/5+(6 1/3-2/9)</t>
  </si>
  <si>
    <t>2/3*6/7*1/4</t>
  </si>
  <si>
    <t>2 5/6*3 3/4*1 1/17</t>
  </si>
  <si>
    <t>13*5/6*3/10*5/26</t>
  </si>
  <si>
    <t>(8-2/9)*1/35</t>
  </si>
  <si>
    <t>2/3*3/5</t>
  </si>
  <si>
    <t>(3/8)/(5/6)</t>
  </si>
  <si>
    <t>(3/8)/5</t>
  </si>
  <si>
    <t>(5 2/3)/(8 1/2)</t>
  </si>
  <si>
    <t>(9/10)/(2 1/3-1 1/4)</t>
  </si>
  <si>
    <t>5/21+10/21+23/21+4/21</t>
  </si>
  <si>
    <t>3/21+1/2+2/49</t>
  </si>
  <si>
    <t>7 9/55+8 13/44</t>
  </si>
  <si>
    <t>4+7/48+8 1/57+1/114</t>
  </si>
  <si>
    <t>23/25-11/25-7/25</t>
  </si>
  <si>
    <t>7/62-3/155</t>
  </si>
  <si>
    <t>106-104/119</t>
  </si>
  <si>
    <t>14 11/45-5 7/60</t>
  </si>
  <si>
    <t>40-35 11/42</t>
  </si>
  <si>
    <t>53 7/16-49</t>
  </si>
  <si>
    <t>111/200+113/300-117/400</t>
  </si>
  <si>
    <t>767/1200</t>
  </si>
  <si>
    <t>9+5/8-3+2 1/9</t>
  </si>
  <si>
    <t>14-(2 1/2-1 3/5)</t>
  </si>
  <si>
    <t>3/4*4/5*5/6</t>
  </si>
  <si>
    <t>9 2/9*1 1/83*2 3/21</t>
  </si>
  <si>
    <t>2 1/3*3 1/4*4 1/5*1/637</t>
  </si>
  <si>
    <t>(16 3/5-7/10)*1/159</t>
  </si>
  <si>
    <t>6/5*2/9</t>
  </si>
  <si>
    <t>(19/21)/(38/7)</t>
  </si>
  <si>
    <t>(6/7)/9</t>
  </si>
  <si>
    <t>(7 3/4)/(5 3/8)</t>
  </si>
  <si>
    <t>(5/6)/(2/3*6/5)</t>
  </si>
  <si>
    <t>5/24+7/24+11/24+13/24+17/24</t>
  </si>
  <si>
    <t>3/5+7/4+11/6</t>
  </si>
  <si>
    <t>5 4/5+6 2/5+8 3/5</t>
  </si>
  <si>
    <t>(1/4+1/2+1/3)+1/6</t>
  </si>
  <si>
    <t>46/51-20/51-9/51</t>
  </si>
  <si>
    <t>7/80-1/90</t>
  </si>
  <si>
    <t>125-1/125</t>
  </si>
  <si>
    <t>9 1/6-7 2/3</t>
  </si>
  <si>
    <t>50-18 18/19</t>
  </si>
  <si>
    <t>1/4-1/5+1/6-1/8</t>
  </si>
  <si>
    <t>16 1/3-14 2/5+7 2/9</t>
  </si>
  <si>
    <t>18-(1/2+1/3+1/4)</t>
  </si>
  <si>
    <t>6/7*7/8*8/9</t>
  </si>
  <si>
    <t>8 1/3*5 1/4*1 3/25</t>
  </si>
  <si>
    <t>11/18*2 1/9*36*1/38</t>
  </si>
  <si>
    <t>(1/8+5 1/4-1/20)*9 1/16</t>
  </si>
  <si>
    <t>11/7*35/22</t>
  </si>
  <si>
    <t>(3/4)/(4/3)</t>
  </si>
  <si>
    <t>(11/12)/44</t>
  </si>
  <si>
    <t>(1 8/27)/(1 1/9)</t>
  </si>
  <si>
    <t>(1-1/3)/(1-1/5)</t>
  </si>
  <si>
    <t>18/53+32/53+40/53+1/53+16/53</t>
  </si>
  <si>
    <t>1/12+1/16+1/18</t>
  </si>
  <si>
    <t>8 1/9+10 7/9+16 1/9</t>
  </si>
  <si>
    <t>(3/80+5/40)+(5/4+1/8)</t>
  </si>
  <si>
    <t>35/84-19/84-8/84</t>
  </si>
  <si>
    <t>11/150-2/175</t>
  </si>
  <si>
    <t>215-3/119</t>
  </si>
  <si>
    <t>8 1/8-2 3/4</t>
  </si>
  <si>
    <t>60-36 41/45</t>
  </si>
  <si>
    <t>1/6-1/7+1/12-1/14</t>
  </si>
  <si>
    <t>9 3/8-4 1/40+6 1/60</t>
  </si>
  <si>
    <t>500-(1/8+9/5-3/40)</t>
  </si>
  <si>
    <t>7/19*19/13*26/21</t>
  </si>
  <si>
    <t>10 1/10*3 1/101*1 3/152</t>
  </si>
  <si>
    <t>7 2/3*11/46*1/121*66</t>
  </si>
  <si>
    <t>(1 3/4-1/8-1/16)*2/3</t>
  </si>
  <si>
    <t>18/41*164</t>
  </si>
  <si>
    <t>(21/30)/(6/7)</t>
  </si>
  <si>
    <t>(13/50)/39</t>
  </si>
  <si>
    <t>(8 3/4)/(13 1/3)</t>
  </si>
  <si>
    <t>(2+7/8)/(2-1/9)</t>
  </si>
  <si>
    <t>41/79+37/79+25/79+71/79+63/79</t>
  </si>
  <si>
    <t>7/50+11/40+13/60</t>
  </si>
  <si>
    <t>1 1/2+2 1/3+1 1/6</t>
  </si>
  <si>
    <t>(3+2 3/5)+(4 1/3+3/20)</t>
  </si>
  <si>
    <t>7/2-1/2-3/2-1/2</t>
  </si>
  <si>
    <t>93/120-83/150</t>
  </si>
  <si>
    <t>316-11/415</t>
  </si>
  <si>
    <t>25 7/50-14 6/25</t>
  </si>
  <si>
    <t>70-46 104/113</t>
  </si>
  <si>
    <t>1/9+1/15-1/6+1/30</t>
  </si>
  <si>
    <t>14 7/25-6 3/50+8 11/40</t>
  </si>
  <si>
    <t>16 1/5-(1/5+1/10-1/20)</t>
  </si>
  <si>
    <t>23/34*17/28*7/69</t>
  </si>
  <si>
    <t>1 1/5*1 1/9*1 1/8*1 3/5</t>
  </si>
  <si>
    <t>19*5 3/14*2/73*7/19</t>
  </si>
  <si>
    <t>(7 2/9+5 1/6-12 5/18)*27</t>
  </si>
  <si>
    <t>3/8*3 1/3</t>
  </si>
  <si>
    <t>(25/32)/(5/8)</t>
  </si>
  <si>
    <t>(50/73)/14</t>
  </si>
  <si>
    <t>(6 3/7)/(1 1/14)</t>
  </si>
  <si>
    <t>(7+3 1/8)/(14+6 1/4)</t>
  </si>
  <si>
    <t>17/84+3/84+5/84+11/84+6/84</t>
  </si>
  <si>
    <t>8/60+13/90+7/120</t>
  </si>
  <si>
    <t>5 3/4+6 1/3+8 1/12</t>
  </si>
  <si>
    <t>(7/8+5/32)+(6 1/6+7 1/4)</t>
  </si>
  <si>
    <t>13/8-3/8-5/8-1/8</t>
  </si>
  <si>
    <t>101/114-97/171</t>
  </si>
  <si>
    <t>819-7/735</t>
  </si>
  <si>
    <t>80 3/8-53 5/9</t>
  </si>
  <si>
    <t>95-51 251/301</t>
  </si>
  <si>
    <t>2/40+7/80-11/36+13/72</t>
  </si>
  <si>
    <t>16 5/14+7 1/7-5 3/56</t>
  </si>
  <si>
    <t>7 2/5+(3 1/2-1 1/3+1/6)</t>
  </si>
  <si>
    <t>90/51*41/108*34/82</t>
  </si>
  <si>
    <t>2 1/7*2 4/5*3 1/3*4 1/2</t>
  </si>
  <si>
    <t>36*1/84*14/9*1/6</t>
  </si>
  <si>
    <t>2/3*(10 1/4*1/16)*2 1/40</t>
  </si>
  <si>
    <t>1107/1280</t>
  </si>
  <si>
    <t>5/9*2 1/4</t>
  </si>
  <si>
    <t>(30/41)/(3/82)</t>
  </si>
  <si>
    <t>(81/97)/18</t>
  </si>
  <si>
    <t>(5 5/9)/(3 7/11)</t>
  </si>
  <si>
    <t>(60-1/8)/(30-1/16)</t>
  </si>
  <si>
    <t>5/14+7/70+3/98</t>
  </si>
  <si>
    <t>2 1/5+4 1/10+8 3/25</t>
  </si>
  <si>
    <t>(9+1/18)+(7/24+6)</t>
  </si>
  <si>
    <t>19/21-2/21-4/21-6/21</t>
  </si>
  <si>
    <t>57/160-17/224</t>
  </si>
  <si>
    <t>115 5/27-101 7/9</t>
  </si>
  <si>
    <t>104-79 301/323</t>
  </si>
  <si>
    <t>1/50-2/75+7/150-1/180</t>
  </si>
  <si>
    <t>4 1/3-2+3-1/9</t>
  </si>
  <si>
    <t>1/8+(4 1/15-1/60+3/80)</t>
  </si>
  <si>
    <t>2/3*6/5*10/9*1/8</t>
  </si>
  <si>
    <t>3 1/4*1 1/3*1 11/26*1 1/37</t>
  </si>
  <si>
    <t>5 1/8*1/82*6 1/3*48</t>
  </si>
  <si>
    <t>(2+1/4)*(6-1/30)</t>
  </si>
  <si>
    <t>7/10*9 1/7</t>
  </si>
  <si>
    <t>(50/61)/(25/183)</t>
  </si>
  <si>
    <t>(16/41)/16</t>
  </si>
  <si>
    <t>(5 6/11)/(2 13/22)</t>
  </si>
  <si>
    <t>(5/8*10/50)/(10 1/12)</t>
  </si>
  <si>
    <t>13/121+4/55+9/10</t>
  </si>
  <si>
    <t>1 97/1210</t>
  </si>
  <si>
    <t>3 3/4+5 5/9+7 1/12</t>
  </si>
  <si>
    <t>(7 3/5+4 1/12+ 1 1/24)+(6+1/18)</t>
  </si>
  <si>
    <t>1/2-1/8-1/40</t>
  </si>
  <si>
    <t>182 13/90-116 11/40</t>
  </si>
  <si>
    <t>7/20+11/320+1/160-3/80</t>
  </si>
  <si>
    <t>9+1/4-1/2+3</t>
  </si>
  <si>
    <t>6 3/4-(2 1/9-1/18+1)</t>
  </si>
  <si>
    <t>7/8*8/11*22/14*1/4</t>
  </si>
  <si>
    <t>6 1/3*2 1/4*3 1/5*2 1/19</t>
  </si>
  <si>
    <t>9 1/3*7 5/7*20 1/3*1/1708</t>
  </si>
  <si>
    <t>(2-1/4)*(6+1/30)</t>
  </si>
  <si>
    <t>10/11* 2 4/9</t>
  </si>
  <si>
    <t>(72/91)/(6/13)</t>
  </si>
  <si>
    <t>(3 12/31)/(2 13/31)</t>
  </si>
  <si>
    <t>(10/(5/6))/(10 9/32)</t>
  </si>
  <si>
    <t>2/3+5/7+2/21+4/63</t>
  </si>
  <si>
    <t>4 1/6+3 1/10+2 1/15</t>
  </si>
  <si>
    <t>(1/28+7/14+5/56)+(1+1/112)</t>
  </si>
  <si>
    <t>3/15-1/45-1/90</t>
  </si>
  <si>
    <t>215 23/80-183 7/50</t>
  </si>
  <si>
    <t>13/2-1/32-1/64-1/128</t>
  </si>
  <si>
    <t>6+5 1/3-4 1/6-1 1/2</t>
  </si>
  <si>
    <t>(1/2+1/3)-5/6</t>
  </si>
  <si>
    <t>5/6*7/10*3/14*1/5</t>
  </si>
  <si>
    <t>1 2/7*1 5/9*2 1/6*2 4/7</t>
  </si>
  <si>
    <t>11/36*18/121*2 3/5*1/169*715</t>
  </si>
  <si>
    <t>(2/3-1/4)*(2/3+3/4)</t>
  </si>
  <si>
    <t>5/13*5 5/12</t>
  </si>
  <si>
    <t>(104/105)/(75/36)</t>
  </si>
  <si>
    <t>(1 8/109)/(1 133/218)</t>
  </si>
  <si>
    <t>(3/5*10/9*3/4)/(3 1/2)</t>
  </si>
  <si>
    <t>3/4+5/8+2/5+3/10</t>
  </si>
  <si>
    <t>1 1/8+5 3/20+6 5/10</t>
  </si>
  <si>
    <t>(6+1/32+4 1/5)+(1/16+2 1/10)</t>
  </si>
  <si>
    <t>3/2-2/121-5/11</t>
  </si>
  <si>
    <t>312 11/90-219 5/36</t>
  </si>
  <si>
    <t>15/16-1/48-1/96-1/80</t>
  </si>
  <si>
    <t>3 1/5-5/8+7/40-1</t>
  </si>
  <si>
    <t>(2/3+3/4+1/12)-1 1/2</t>
  </si>
  <si>
    <t>3/5*17/19*5/34*38/75</t>
  </si>
  <si>
    <t>8 2/5*2 4/7*7 1/9*2 7/10</t>
  </si>
  <si>
    <t>7 2/9*18*5/13*6 1/3*1/20</t>
  </si>
  <si>
    <t>(7 2/5+5 1/6)*(28 1/4+1 3/4)</t>
  </si>
  <si>
    <t>7/29*84 1/10</t>
  </si>
  <si>
    <t>(150/136)/(135/180)</t>
  </si>
  <si>
    <t>(4 1/50)/(24 3/25)</t>
  </si>
  <si>
    <t>(1/2+3/4-1/8)/(1 3/5)</t>
  </si>
  <si>
    <t>7/20+3/40+1/80+3/15</t>
  </si>
  <si>
    <t>6 1/27+4 1/18+1 1/54</t>
  </si>
  <si>
    <t>(1/5+1/3+1/6+1/30)+(1/10+3/25+4/50)</t>
  </si>
  <si>
    <t>7/35-1/100-11/1000</t>
  </si>
  <si>
    <t>179/1000</t>
  </si>
  <si>
    <t>301 3/45-300 7/80</t>
  </si>
  <si>
    <t>7/11-1/121-1/1331+1/6</t>
  </si>
  <si>
    <t>6341/7986</t>
  </si>
  <si>
    <t>6 1/19-2 3/38+5 1/76-1/2</t>
  </si>
  <si>
    <t>(1/2-1/3)-1/6</t>
  </si>
  <si>
    <t>8 8/7*1 47/108*3 33/61*15 1/2*1 19/31</t>
  </si>
  <si>
    <t>5 2/31*11/157*62/77*21*1 1/6</t>
  </si>
  <si>
    <t>(11 1/10-10)*(13-9 2/5)</t>
  </si>
  <si>
    <t>(216/316)/(1080/948)</t>
  </si>
  <si>
    <t>(1 11/52)/(7 7/26)</t>
  </si>
  <si>
    <t>(2 1/3+3 1/4-3 1/8)/(1/12)</t>
  </si>
  <si>
    <t>2/300+5/500+2/1000+7/250</t>
  </si>
  <si>
    <t>1 1/42+3 1/14+10 11/84</t>
  </si>
  <si>
    <t>(5 1/6+2 1/9+3 1/12)+(3/5+7/3+2/15)</t>
  </si>
  <si>
    <t>19/36-7/80-11/90</t>
  </si>
  <si>
    <t>401 11/51-400 9/17</t>
  </si>
  <si>
    <t>8/7-2/49-3/343+5/2</t>
  </si>
  <si>
    <t>3/8+17/16+32/6-2 3/5</t>
  </si>
  <si>
    <t>(1/2+4/3)-(1/2+1/6)</t>
  </si>
  <si>
    <t>2 4/39*2 1/6*1 1/41*4 1/3*2 4/7</t>
  </si>
  <si>
    <t>11/26*52*3 1/13*1 6/7*5/33</t>
  </si>
  <si>
    <t>(7/8+2/9)*(36*1/79)</t>
  </si>
  <si>
    <t>(51/76)/(57/1520)</t>
  </si>
  <si>
    <t>(1 99/716)/(9 19/179)</t>
  </si>
  <si>
    <t>(6-3/5+1/10)/(5 1/2)</t>
  </si>
  <si>
    <t>5/16+2/48+1/9+3/18</t>
  </si>
  <si>
    <t>6 1/11+7 5/11+8 2/11+4 3/11</t>
  </si>
  <si>
    <t>9-1/108-1/216-1/144</t>
  </si>
  <si>
    <t>(6/14+3/7)-(1/3+1/6)</t>
  </si>
  <si>
    <t>(11/180-1/45)*(90*1/14)</t>
  </si>
  <si>
    <t>((150 1/8)/(1/8))/(4*2 7/8)</t>
  </si>
  <si>
    <t>6/17+1/34+1/51+4/3</t>
  </si>
  <si>
    <t>4 1/4+5 1/8+7 1/16+1 1/32</t>
  </si>
  <si>
    <t>5 1/6-2 1/32+7/64-1/18</t>
  </si>
  <si>
    <t>(8 1/4+1/8-5)-3 1/3</t>
  </si>
  <si>
    <t>(2-1/3-1/5)*(6-1/11)</t>
  </si>
  <si>
    <t>(7/30+7/90+1/3)/(1/9)</t>
  </si>
  <si>
    <t>7/90+11/30+3/80+7/40</t>
  </si>
  <si>
    <t>3 1/5+4 1/10+1 1/50+2 3/25</t>
  </si>
  <si>
    <t>9+6 1/20 -3 1/75+11/320</t>
  </si>
  <si>
    <t>12 341/4800</t>
  </si>
  <si>
    <t>(6-1/5)-(4-1/3)</t>
  </si>
  <si>
    <t>(9/3-1/4-1/8-1/16)*8</t>
  </si>
  <si>
    <t>(1/6+1/3-1/45)/(1 1/90)</t>
  </si>
  <si>
    <t>8/72+71/144+5/36+8/27</t>
  </si>
  <si>
    <t>1 1/5+3 1/4+2 1/15+4 1/60</t>
  </si>
  <si>
    <t>5 7/9-3 1/3-11/36+1/4</t>
  </si>
  <si>
    <t>(20-1/10)-(8-1/25)</t>
  </si>
  <si>
    <t>(9 1/12+7/16-2 1/3-2)*1 1/83</t>
  </si>
  <si>
    <t>(2*6/5)/(2+3/8)</t>
  </si>
  <si>
    <t>7/39+11/26+2/3+8/9</t>
  </si>
  <si>
    <t>5 3/7+3 1/14+2 1/6+7 1/2</t>
  </si>
  <si>
    <t>16 1/4-3 1/8-2 4/7-3/28</t>
  </si>
  <si>
    <t>(4 1/2-3 1/4)+(6 1/5-5 1/6)</t>
  </si>
  <si>
    <t>(5/24-1/32)*(7/8+1/80-1/4)</t>
  </si>
  <si>
    <t>289/2560</t>
  </si>
  <si>
    <t>(5/(1/5))/(2/(1/3))</t>
  </si>
  <si>
    <t>1/3+1/9+1/18+7/24+11/30</t>
  </si>
  <si>
    <t>1 1/5+4 1/80+5 1/16+2 1/40</t>
  </si>
  <si>
    <t>50 3/5-6-8 1/50-2 3/10</t>
  </si>
  <si>
    <t>18-(2 1/2+3 1/3+4 1/4+5 1/5)</t>
  </si>
  <si>
    <t>(3/16+1/4-1/40)*(4/9+1/90-1/3)</t>
  </si>
  <si>
    <t>121/2400</t>
  </si>
  <si>
    <t>(19 2/3+1/4)/(4 1/5*5/42*1/6)</t>
  </si>
  <si>
    <t>7/25+8/105+9/21+11/50+1/63</t>
  </si>
  <si>
    <t>2 1/18+6 7/15+4 1/45+7 1/90</t>
  </si>
  <si>
    <t>1/3+4 1/5-2 1/2+1/6-1/9</t>
  </si>
  <si>
    <t>(6-1/2+1/3)-(2-1/2+1)</t>
  </si>
  <si>
    <t>(2 1/3+3 1/4)*(3+4 1/4+1/16)</t>
  </si>
  <si>
    <t>(1/2-1/3)*(2-1/5)/(1-1/3)</t>
  </si>
  <si>
    <t>19/18+61/72+13/216+1/10+3/5</t>
  </si>
  <si>
    <t>4 1/31+1 1/62+1 3/93+4 1/4</t>
  </si>
  <si>
    <t>4 7/15-1/9+1/12-1/36-1</t>
  </si>
  <si>
    <t>(1/2+1/3+1/4)-(1/8+1/16+1/32)</t>
  </si>
  <si>
    <t>150*(9/32+5+1/16)*1/14</t>
  </si>
  <si>
    <t>(4-1/4)*(5-1/5)/(1/18)</t>
  </si>
  <si>
    <t>1/324+1/162+5/108+1/14+1/21</t>
  </si>
  <si>
    <t>1 1/10+1 1/100+1 1/1000+ 1 1/10000</t>
  </si>
  <si>
    <t>4 1111/10000</t>
  </si>
  <si>
    <t>7 1/2-5 1/4+6 1/8-6 1/6+6 1/9</t>
  </si>
  <si>
    <t>(7/30-1/60+1/4)+(5/3+7/5-1/20)</t>
  </si>
  <si>
    <t>(1/3-1/5)*(1/60+10/25)*5 4/15</t>
  </si>
  <si>
    <t>(1/2*4/3)/((1/2)/6)/(1/2+1/4)</t>
  </si>
  <si>
    <t>1/900+101/300+13/60+17/45+19/54</t>
  </si>
  <si>
    <t>1 767/2700</t>
  </si>
  <si>
    <t>3 1/160+ 2 1/45+4 7/60+1 1/800</t>
  </si>
  <si>
    <t>10 527/3600</t>
  </si>
  <si>
    <t>25-7/30+4 1/20-1/50-1/6-3</t>
  </si>
  <si>
    <t>180-3 1/5-(2 1/3+1/6-1/9)</t>
  </si>
  <si>
    <t>(3 1/2+1/8)*(6-2/3)*(5 1/4+1/12)</t>
  </si>
  <si>
    <t>(2 1/3-1 1/6)/(3 1/4+2 1/8)/(28/129)</t>
  </si>
  <si>
    <t>3/5*((8/9)/(1/6))</t>
  </si>
  <si>
    <t>5/6*((2/3)/(3/2))*72</t>
  </si>
  <si>
    <t>1/8*((5/6)/(1/2))*150</t>
  </si>
  <si>
    <t>5/41*((8/9)/(4 1/3))*2*5/12</t>
  </si>
  <si>
    <t>100/4797</t>
  </si>
  <si>
    <t>3/11*2/2*((1/3)/(1/14))*14 2/5</t>
  </si>
  <si>
    <t xml:space="preserve">Resultado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</si>
</sst>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#\ ???/???"/>
    <numFmt numFmtId="165" formatCode="0.00000000000"/>
    <numFmt numFmtId="166" formatCode="#,##0.0000000"/>
    <numFmt numFmtId="167" formatCode="#,##0.000"/>
    <numFmt numFmtId="168" formatCode="#,##0.00000"/>
    <numFmt numFmtId="169" formatCode="0.000"/>
    <numFmt numFmtId="170" formatCode="0.0000"/>
    <numFmt numFmtId="171" formatCode="0.00000000"/>
    <numFmt numFmtId="172" formatCode="0.0000000"/>
    <numFmt numFmtId="173" formatCode="#,##0.00000000"/>
    <numFmt numFmtId="174" formatCode="0.000000"/>
    <numFmt numFmtId="175" formatCode="0.00000"/>
    <numFmt numFmtId="176" formatCode="#,##0.0000"/>
    <numFmt numFmtId="177" formatCode="#,##0.0"/>
    <numFmt numFmtId="178" formatCode="0.0"/>
    <numFmt numFmtId="179" formatCode="0.0000000000000"/>
    <numFmt numFmtId="180" formatCode="0.000000000"/>
    <numFmt numFmtId="181" formatCode="0.000000000000"/>
    <numFmt numFmtId="182" formatCode="#,##0.000000000000000"/>
    <numFmt numFmtId="183" formatCode="#,##0.0000000000000"/>
    <numFmt numFmtId="184" formatCode="#,##0.000000"/>
    <numFmt numFmtId="185" formatCode="0.00000000000000"/>
    <numFmt numFmtId="186" formatCode="#,##0.000000000"/>
    <numFmt numFmtId="187" formatCode="#,##0.00000000000000"/>
    <numFmt numFmtId="188" formatCode="#,##0.000000000000"/>
    <numFmt numFmtId="189" formatCode="#,##0.0000000000000000"/>
  </numFmts>
  <fonts count="11">
    <font>
      <sz val="11"/>
      <color theme="1"/>
      <name val="Calibri"/>
      <family val="2"/>
      <scheme val="minor"/>
    </font>
    <font>
      <sz val="11"/>
      <color rgb="FF00FF00"/>
      <name val="Calibri"/>
      <family val="2"/>
    </font>
    <font>
      <vertAlign val="superscript"/>
      <sz val="11"/>
      <color rgb="FF00FF00"/>
      <name val="Calibri"/>
      <family val="2"/>
    </font>
    <font>
      <vertAlign val="superscript"/>
      <sz val="12"/>
      <color theme="1"/>
      <name val="Verdana"/>
      <family val="2"/>
    </font>
    <font>
      <vertAlign val="superscript"/>
      <sz val="11"/>
      <color theme="1"/>
      <name val="Verdana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10" fillId="2" borderId="1" xfId="1" applyFill="1" applyBorder="1"/>
    <xf numFmtId="164" fontId="10" fillId="2" borderId="1" xfId="1" applyNumberFormat="1" applyFill="1" applyBorder="1"/>
    <xf numFmtId="0" fontId="10" fillId="2" borderId="1" xfId="1" applyFill="1" applyBorder="1" applyAlignment="1">
      <alignment horizontal="center"/>
    </xf>
    <xf numFmtId="0" fontId="10" fillId="2" borderId="1" xfId="1" applyFill="1" applyBorder="1" applyAlignment="1">
      <alignment horizontal="center"/>
    </xf>
    <xf numFmtId="0" fontId="10" fillId="2" borderId="1" xfId="1" applyFill="1" applyBorder="1" applyAlignment="1"/>
    <xf numFmtId="49" fontId="10" fillId="2" borderId="1" xfId="1" applyNumberFormat="1" applyFill="1" applyBorder="1"/>
    <xf numFmtId="0" fontId="10" fillId="2" borderId="1" xfId="1" applyNumberFormat="1" applyFill="1" applyBorder="1"/>
    <xf numFmtId="13" fontId="10" fillId="2" borderId="1" xfId="1" applyNumberFormat="1" applyFill="1" applyBorder="1"/>
    <xf numFmtId="12" fontId="10" fillId="2" borderId="1" xfId="1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/>
    </xf>
    <xf numFmtId="176" fontId="0" fillId="2" borderId="1" xfId="0" applyNumberFormat="1" applyFill="1" applyBorder="1" applyAlignment="1">
      <alignment horizontal="right"/>
    </xf>
    <xf numFmtId="177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72" fontId="0" fillId="2" borderId="1" xfId="0" applyNumberFormat="1" applyFill="1" applyBorder="1" applyAlignment="1">
      <alignment horizontal="right"/>
    </xf>
    <xf numFmtId="167" fontId="0" fillId="2" borderId="1" xfId="0" applyNumberFormat="1" applyFill="1" applyBorder="1" applyAlignment="1">
      <alignment horizontal="right"/>
    </xf>
    <xf numFmtId="17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84" fontId="0" fillId="2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73" fontId="0" fillId="2" borderId="1" xfId="0" applyNumberFormat="1" applyFill="1" applyBorder="1" applyAlignment="1">
      <alignment horizontal="right"/>
    </xf>
    <xf numFmtId="168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/>
    <xf numFmtId="0" fontId="0" fillId="2" borderId="1" xfId="0" applyNumberFormat="1" applyFill="1" applyBorder="1"/>
    <xf numFmtId="12" fontId="0" fillId="2" borderId="1" xfId="0" applyNumberFormat="1" applyFill="1" applyBorder="1" applyAlignment="1">
      <alignment horizontal="right"/>
    </xf>
    <xf numFmtId="178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9" fontId="0" fillId="2" borderId="1" xfId="0" applyNumberFormat="1" applyFill="1" applyBorder="1" applyAlignment="1">
      <alignment horizontal="right"/>
    </xf>
    <xf numFmtId="170" fontId="0" fillId="2" borderId="1" xfId="0" applyNumberFormat="1" applyFill="1" applyBorder="1" applyAlignment="1">
      <alignment horizontal="right"/>
    </xf>
    <xf numFmtId="186" fontId="0" fillId="2" borderId="1" xfId="0" applyNumberFormat="1" applyFill="1" applyBorder="1" applyAlignment="1">
      <alignment horizontal="right"/>
    </xf>
    <xf numFmtId="185" fontId="0" fillId="2" borderId="1" xfId="0" applyNumberFormat="1" applyFill="1" applyBorder="1" applyAlignment="1">
      <alignment horizontal="right"/>
    </xf>
    <xf numFmtId="187" fontId="0" fillId="2" borderId="1" xfId="0" applyNumberFormat="1" applyFill="1" applyBorder="1" applyAlignment="1">
      <alignment horizontal="right"/>
    </xf>
    <xf numFmtId="188" fontId="0" fillId="2" borderId="1" xfId="0" applyNumberFormat="1" applyFill="1" applyBorder="1" applyAlignment="1">
      <alignment horizontal="right"/>
    </xf>
    <xf numFmtId="181" fontId="0" fillId="2" borderId="1" xfId="0" applyNumberFormat="1" applyFill="1" applyBorder="1" applyAlignment="1">
      <alignment horizontal="right"/>
    </xf>
    <xf numFmtId="175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189" fontId="0" fillId="2" borderId="1" xfId="0" applyNumberFormat="1" applyFill="1" applyBorder="1" applyAlignment="1">
      <alignment horizontal="right"/>
    </xf>
    <xf numFmtId="181" fontId="0" fillId="2" borderId="1" xfId="0" applyNumberFormat="1" applyFill="1" applyBorder="1"/>
    <xf numFmtId="1" fontId="0" fillId="2" borderId="1" xfId="0" applyNumberFormat="1" applyFill="1" applyBorder="1"/>
    <xf numFmtId="12" fontId="0" fillId="2" borderId="1" xfId="0" applyNumberForma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right" wrapText="1"/>
    </xf>
    <xf numFmtId="182" fontId="0" fillId="2" borderId="1" xfId="0" applyNumberFormat="1" applyFill="1" applyBorder="1" applyAlignment="1">
      <alignment horizontal="right"/>
    </xf>
    <xf numFmtId="183" fontId="0" fillId="2" borderId="1" xfId="0" applyNumberFormat="1" applyFill="1" applyBorder="1"/>
    <xf numFmtId="177" fontId="0" fillId="2" borderId="1" xfId="0" applyNumberFormat="1" applyFill="1" applyBorder="1"/>
    <xf numFmtId="182" fontId="0" fillId="2" borderId="1" xfId="0" applyNumberFormat="1" applyFill="1" applyBorder="1"/>
    <xf numFmtId="178" fontId="0" fillId="2" borderId="1" xfId="0" applyNumberFormat="1" applyFill="1" applyBorder="1"/>
    <xf numFmtId="2" fontId="0" fillId="2" borderId="1" xfId="0" applyNumberFormat="1" applyFill="1" applyBorder="1"/>
    <xf numFmtId="169" fontId="0" fillId="2" borderId="1" xfId="0" applyNumberFormat="1" applyFill="1" applyBorder="1"/>
    <xf numFmtId="170" fontId="0" fillId="2" borderId="1" xfId="0" applyNumberFormat="1" applyFill="1" applyBorder="1"/>
    <xf numFmtId="175" fontId="0" fillId="2" borderId="1" xfId="0" applyNumberFormat="1" applyFill="1" applyBorder="1"/>
    <xf numFmtId="174" fontId="0" fillId="2" borderId="1" xfId="0" applyNumberFormat="1" applyFill="1" applyBorder="1"/>
    <xf numFmtId="173" fontId="0" fillId="2" borderId="1" xfId="0" applyNumberFormat="1" applyFill="1" applyBorder="1"/>
    <xf numFmtId="167" fontId="0" fillId="2" borderId="1" xfId="0" applyNumberFormat="1" applyFill="1" applyBorder="1"/>
    <xf numFmtId="176" fontId="0" fillId="2" borderId="1" xfId="0" applyNumberFormat="1" applyFill="1" applyBorder="1"/>
    <xf numFmtId="171" fontId="0" fillId="2" borderId="1" xfId="0" applyNumberFormat="1" applyFill="1" applyBorder="1"/>
    <xf numFmtId="172" fontId="0" fillId="2" borderId="1" xfId="0" applyNumberFormat="1" applyFill="1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168" fontId="0" fillId="2" borderId="1" xfId="0" applyNumberFormat="1" applyFill="1" applyBorder="1"/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13" fontId="0" fillId="2" borderId="1" xfId="0" applyNumberFormat="1" applyFill="1" applyBorder="1"/>
    <xf numFmtId="179" fontId="0" fillId="2" borderId="1" xfId="0" applyNumberFormat="1" applyFill="1" applyBorder="1"/>
    <xf numFmtId="180" fontId="0" fillId="2" borderId="1" xfId="0" applyNumberFormat="1" applyFill="1" applyBorder="1"/>
    <xf numFmtId="3" fontId="0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13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3" fontId="0" fillId="2" borderId="1" xfId="0" applyNumberForma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B45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381000</xdr:colOff>
      <xdr:row>0</xdr:row>
      <xdr:rowOff>1257300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412A0A-2EEA-A942-B951-7CC95C566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558800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A046EB-82DA-934A-B345-FFD2DF91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508000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806829-CCEB-204E-B2B4-9789F9F22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190500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388428-7291-DD4B-9067-8BD4459D1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635000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42DA18-442B-2741-B9D2-87C0D0A7D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51</xdr:col>
      <xdr:colOff>368300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70155-E030-F445-BE15-CD3727180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0</xdr:colOff>
      <xdr:row>0</xdr:row>
      <xdr:rowOff>0</xdr:rowOff>
    </xdr:from>
    <xdr:to>
      <xdr:col>103</xdr:col>
      <xdr:colOff>266700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E16927-7AC2-7045-B9E3-E396EF946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9870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0</xdr:row>
      <xdr:rowOff>0</xdr:rowOff>
    </xdr:from>
    <xdr:to>
      <xdr:col>66</xdr:col>
      <xdr:colOff>190500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E79EE2-39CF-E343-A662-8A2066B70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0</xdr:rowOff>
    </xdr:from>
    <xdr:to>
      <xdr:col>44</xdr:col>
      <xdr:colOff>119530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F8B7AC-A17E-D040-AF13-525A6CE9C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53922" y="0"/>
          <a:ext cx="251460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812800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34B738-C556-B044-8A1C-447904CA6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533400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95A59C-4D3A-924E-A1D6-69594D84B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609600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EB1584-938B-E94E-B939-786E13ECA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228600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F1BAB3-8545-E848-B5F6-15427496A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152400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2AA332-EC43-5D47-B73F-D00487F7D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38100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9E731D-BA01-C64C-8D10-006E325B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419100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02ABF3-267B-A449-842F-11E18E47E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723900</xdr:colOff>
      <xdr:row>0</xdr:row>
      <xdr:rowOff>1257300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66C3CF-9806-F143-9D75-2393F965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14"/>
  <sheetViews>
    <sheetView tabSelected="1" workbookViewId="0"/>
  </sheetViews>
  <sheetFormatPr baseColWidth="10" defaultRowHeight="15"/>
  <cols>
    <col min="1" max="16384" width="10.83203125" style="10"/>
  </cols>
  <sheetData>
    <row r="1" spans="1:21" ht="100" customHeight="1"/>
    <row r="2" spans="1:21">
      <c r="A2" s="11" t="s">
        <v>0</v>
      </c>
      <c r="B2" s="11"/>
      <c r="C2" s="11"/>
      <c r="D2" s="11"/>
      <c r="F2" s="11" t="s">
        <v>1</v>
      </c>
      <c r="G2" s="11"/>
      <c r="H2" s="11"/>
      <c r="I2" s="11"/>
      <c r="K2" s="11" t="s">
        <v>2</v>
      </c>
      <c r="L2" s="11"/>
      <c r="M2" s="11"/>
      <c r="N2" s="11"/>
      <c r="O2" s="11"/>
      <c r="Q2" s="11" t="s">
        <v>3</v>
      </c>
      <c r="R2" s="11"/>
      <c r="S2" s="11"/>
      <c r="T2" s="11"/>
    </row>
    <row r="3" spans="1:21" ht="32">
      <c r="A3" s="31" t="s">
        <v>4</v>
      </c>
      <c r="B3" s="31" t="s">
        <v>5</v>
      </c>
      <c r="C3" s="31" t="s">
        <v>6</v>
      </c>
      <c r="D3" s="31" t="s">
        <v>7</v>
      </c>
      <c r="E3" s="87"/>
      <c r="F3" s="31" t="s">
        <v>4</v>
      </c>
      <c r="G3" s="31" t="s">
        <v>8</v>
      </c>
      <c r="H3" s="31" t="s">
        <v>9</v>
      </c>
      <c r="I3" s="31" t="s">
        <v>5</v>
      </c>
      <c r="K3" s="31" t="s">
        <v>4</v>
      </c>
      <c r="L3" s="31" t="s">
        <v>8</v>
      </c>
      <c r="M3" s="31" t="s">
        <v>10</v>
      </c>
      <c r="N3" s="31" t="s">
        <v>11</v>
      </c>
      <c r="O3" s="31" t="s">
        <v>12</v>
      </c>
      <c r="Q3" s="31" t="s">
        <v>4</v>
      </c>
      <c r="R3" s="31" t="s">
        <v>8</v>
      </c>
      <c r="S3" s="31" t="s">
        <v>9</v>
      </c>
      <c r="T3" s="31" t="s">
        <v>11</v>
      </c>
      <c r="U3" s="31" t="s">
        <v>12</v>
      </c>
    </row>
    <row r="4" spans="1:21">
      <c r="A4" s="10">
        <v>1</v>
      </c>
      <c r="B4" s="18">
        <v>123</v>
      </c>
      <c r="C4" s="18">
        <v>2</v>
      </c>
      <c r="D4" s="18" t="str">
        <f>DecimalToBase(B4,C4)</f>
        <v>1111011</v>
      </c>
      <c r="E4" s="36"/>
      <c r="F4" s="10">
        <v>1</v>
      </c>
      <c r="G4" s="36">
        <v>1101</v>
      </c>
      <c r="H4" s="36">
        <v>2</v>
      </c>
      <c r="I4" s="36">
        <f>BaseToDecimal(G4,H4)</f>
        <v>13</v>
      </c>
      <c r="K4" s="10">
        <v>1</v>
      </c>
      <c r="L4" s="36">
        <v>1002</v>
      </c>
      <c r="M4" s="10">
        <v>3</v>
      </c>
      <c r="N4" s="36">
        <v>4</v>
      </c>
      <c r="O4" s="36" t="str">
        <f t="shared" ref="O4:O13" si="0">DecimalToBase(BaseToDecimal(L4,M4),N4)</f>
        <v>131</v>
      </c>
      <c r="Q4" s="10">
        <v>1</v>
      </c>
      <c r="R4" s="10">
        <v>1101</v>
      </c>
      <c r="S4" s="10">
        <v>2</v>
      </c>
      <c r="T4" s="10">
        <v>10</v>
      </c>
      <c r="U4" s="10">
        <f>BaseToDecimal(R4,S4)</f>
        <v>13</v>
      </c>
    </row>
    <row r="5" spans="1:21">
      <c r="A5" s="10">
        <v>2</v>
      </c>
      <c r="B5" s="18">
        <v>871</v>
      </c>
      <c r="C5" s="36">
        <v>3</v>
      </c>
      <c r="D5" s="18" t="str">
        <f t="shared" ref="D5:D13" si="1">DecimalToBase(B5,C5)</f>
        <v>1012021</v>
      </c>
      <c r="E5" s="36"/>
      <c r="F5" s="10">
        <v>2</v>
      </c>
      <c r="G5" s="36">
        <v>32012</v>
      </c>
      <c r="H5" s="36">
        <v>4</v>
      </c>
      <c r="I5" s="36">
        <f t="shared" ref="I5:I13" si="2">BaseToDecimal(G5,H5)</f>
        <v>902</v>
      </c>
      <c r="K5" s="10">
        <v>2</v>
      </c>
      <c r="L5" s="36">
        <v>432</v>
      </c>
      <c r="M5" s="10">
        <v>7</v>
      </c>
      <c r="N5" s="36">
        <v>3</v>
      </c>
      <c r="O5" s="36" t="str">
        <f t="shared" si="0"/>
        <v>22010</v>
      </c>
      <c r="Q5" s="10">
        <v>2</v>
      </c>
      <c r="R5" s="10">
        <v>5678</v>
      </c>
      <c r="S5" s="10">
        <v>10</v>
      </c>
      <c r="T5" s="10">
        <v>12</v>
      </c>
      <c r="U5" s="36" t="str">
        <f>DecimalToBase(R5,T5)</f>
        <v>3352</v>
      </c>
    </row>
    <row r="6" spans="1:21">
      <c r="A6" s="10">
        <v>3</v>
      </c>
      <c r="B6" s="18">
        <v>3476</v>
      </c>
      <c r="C6" s="36">
        <v>5</v>
      </c>
      <c r="D6" s="18" t="str">
        <f t="shared" si="1"/>
        <v>102401</v>
      </c>
      <c r="E6" s="36"/>
      <c r="F6" s="10">
        <v>3</v>
      </c>
      <c r="G6" s="36">
        <v>5431</v>
      </c>
      <c r="H6" s="36">
        <v>6</v>
      </c>
      <c r="I6" s="36">
        <f t="shared" si="2"/>
        <v>1243</v>
      </c>
      <c r="K6" s="10">
        <v>3</v>
      </c>
      <c r="L6" s="36" t="s">
        <v>13</v>
      </c>
      <c r="M6" s="10">
        <v>12</v>
      </c>
      <c r="N6" s="10">
        <v>5</v>
      </c>
      <c r="O6" s="36" t="str">
        <f t="shared" si="0"/>
        <v>23100</v>
      </c>
      <c r="Q6" s="10">
        <v>3</v>
      </c>
      <c r="R6" s="10">
        <v>18</v>
      </c>
      <c r="S6" s="10">
        <v>10</v>
      </c>
      <c r="T6" s="10">
        <v>18</v>
      </c>
      <c r="U6" s="36" t="str">
        <f>DecimalToBase(R6,T6)</f>
        <v>10</v>
      </c>
    </row>
    <row r="7" spans="1:21">
      <c r="A7" s="10">
        <v>4</v>
      </c>
      <c r="B7" s="18">
        <v>10087</v>
      </c>
      <c r="C7" s="36">
        <v>7</v>
      </c>
      <c r="D7" s="18" t="str">
        <f t="shared" si="1"/>
        <v>41260</v>
      </c>
      <c r="E7" s="36"/>
      <c r="F7" s="10">
        <v>4</v>
      </c>
      <c r="G7" s="36">
        <v>76321</v>
      </c>
      <c r="H7" s="36">
        <v>8</v>
      </c>
      <c r="I7" s="36">
        <f t="shared" si="2"/>
        <v>31953</v>
      </c>
      <c r="K7" s="10">
        <v>4</v>
      </c>
      <c r="L7" s="36" t="s">
        <v>14</v>
      </c>
      <c r="M7" s="10">
        <v>15</v>
      </c>
      <c r="N7" s="10">
        <v>12</v>
      </c>
      <c r="O7" s="36" t="str">
        <f t="shared" si="0"/>
        <v>A494</v>
      </c>
      <c r="Q7" s="10">
        <v>4</v>
      </c>
      <c r="R7" s="10">
        <v>4320</v>
      </c>
      <c r="S7" s="10">
        <v>5</v>
      </c>
      <c r="T7" s="10">
        <v>13</v>
      </c>
      <c r="U7" s="36" t="str">
        <f>DecimalToBase(BaseToDecimal(4320,5),13)</f>
        <v>360</v>
      </c>
    </row>
    <row r="8" spans="1:21">
      <c r="A8" s="10">
        <v>5</v>
      </c>
      <c r="B8" s="18">
        <v>1007</v>
      </c>
      <c r="C8" s="36">
        <v>8</v>
      </c>
      <c r="D8" s="18" t="str">
        <f t="shared" si="1"/>
        <v>1757</v>
      </c>
      <c r="E8" s="36"/>
      <c r="F8" s="10">
        <v>5</v>
      </c>
      <c r="G8" s="36">
        <v>20078</v>
      </c>
      <c r="H8" s="36">
        <v>9</v>
      </c>
      <c r="I8" s="36">
        <f t="shared" si="2"/>
        <v>13193</v>
      </c>
      <c r="K8" s="10">
        <v>5</v>
      </c>
      <c r="L8" s="36" t="s">
        <v>15</v>
      </c>
      <c r="M8" s="10">
        <v>18</v>
      </c>
      <c r="N8" s="10">
        <v>23</v>
      </c>
      <c r="O8" s="36" t="str">
        <f t="shared" si="0"/>
        <v>5H76</v>
      </c>
    </row>
    <row r="9" spans="1:21">
      <c r="A9" s="10">
        <v>6</v>
      </c>
      <c r="B9" s="18">
        <v>78564</v>
      </c>
      <c r="C9" s="36">
        <v>9</v>
      </c>
      <c r="D9" s="18" t="str">
        <f t="shared" si="1"/>
        <v>128683</v>
      </c>
      <c r="E9" s="36"/>
      <c r="F9" s="10">
        <v>6</v>
      </c>
      <c r="G9" s="36" t="s">
        <v>16</v>
      </c>
      <c r="H9" s="36">
        <v>12</v>
      </c>
      <c r="I9" s="36">
        <f t="shared" si="2"/>
        <v>13673</v>
      </c>
      <c r="K9" s="10">
        <v>6</v>
      </c>
      <c r="L9" s="36" t="s">
        <v>17</v>
      </c>
      <c r="M9" s="10">
        <v>14</v>
      </c>
      <c r="N9" s="10">
        <v>7</v>
      </c>
      <c r="O9" s="36" t="str">
        <f t="shared" si="0"/>
        <v>64114</v>
      </c>
    </row>
    <row r="10" spans="1:21">
      <c r="A10" s="10">
        <v>7</v>
      </c>
      <c r="B10" s="18">
        <v>87256</v>
      </c>
      <c r="C10" s="36">
        <v>12</v>
      </c>
      <c r="D10" s="18" t="str">
        <f t="shared" si="1"/>
        <v>425B4</v>
      </c>
      <c r="E10" s="36"/>
      <c r="F10" s="10">
        <v>7</v>
      </c>
      <c r="G10" s="36" t="s">
        <v>18</v>
      </c>
      <c r="H10" s="36">
        <v>15</v>
      </c>
      <c r="I10" s="36">
        <f t="shared" si="2"/>
        <v>43581</v>
      </c>
      <c r="K10" s="10">
        <v>7</v>
      </c>
      <c r="L10" s="36" t="s">
        <v>19</v>
      </c>
      <c r="M10" s="10">
        <v>20</v>
      </c>
      <c r="N10" s="10">
        <v>9</v>
      </c>
      <c r="O10" s="36" t="str">
        <f t="shared" si="0"/>
        <v>138108</v>
      </c>
    </row>
    <row r="11" spans="1:21">
      <c r="A11" s="10">
        <v>8</v>
      </c>
      <c r="B11" s="18">
        <v>120022</v>
      </c>
      <c r="C11" s="36">
        <v>20</v>
      </c>
      <c r="D11" s="18" t="str">
        <f t="shared" si="1"/>
        <v>F012</v>
      </c>
      <c r="E11" s="36"/>
      <c r="F11" s="10">
        <v>8</v>
      </c>
      <c r="G11" s="36" t="s">
        <v>20</v>
      </c>
      <c r="H11" s="36">
        <v>18</v>
      </c>
      <c r="I11" s="36">
        <f t="shared" si="2"/>
        <v>51472</v>
      </c>
      <c r="K11" s="10">
        <v>8</v>
      </c>
      <c r="L11" s="36" t="s">
        <v>21</v>
      </c>
      <c r="M11" s="10">
        <v>21</v>
      </c>
      <c r="N11" s="10">
        <v>22</v>
      </c>
      <c r="O11" s="36" t="str">
        <f t="shared" si="0"/>
        <v>CHG9</v>
      </c>
    </row>
    <row r="12" spans="1:21">
      <c r="A12" s="10">
        <v>9</v>
      </c>
      <c r="B12" s="18">
        <v>14325</v>
      </c>
      <c r="C12" s="36">
        <v>30</v>
      </c>
      <c r="D12" s="18" t="str">
        <f t="shared" si="1"/>
        <v>FRF</v>
      </c>
      <c r="E12" s="36"/>
      <c r="F12" s="10">
        <v>9</v>
      </c>
      <c r="G12" s="36" t="s">
        <v>22</v>
      </c>
      <c r="H12" s="36">
        <v>20</v>
      </c>
      <c r="I12" s="36">
        <f t="shared" si="2"/>
        <v>2838464</v>
      </c>
      <c r="K12" s="10">
        <v>9</v>
      </c>
      <c r="L12" s="36" t="s">
        <v>23</v>
      </c>
      <c r="M12" s="10">
        <v>25</v>
      </c>
      <c r="N12" s="10">
        <v>30</v>
      </c>
      <c r="O12" s="36" t="str">
        <f t="shared" si="0"/>
        <v>8EIR2</v>
      </c>
    </row>
    <row r="13" spans="1:21">
      <c r="A13" s="10">
        <v>10</v>
      </c>
      <c r="B13" s="18">
        <v>86543</v>
      </c>
      <c r="C13" s="36">
        <v>32</v>
      </c>
      <c r="D13" s="18" t="str">
        <f t="shared" si="1"/>
        <v>2KGF</v>
      </c>
      <c r="E13" s="36"/>
      <c r="F13" s="10">
        <v>10</v>
      </c>
      <c r="G13" s="36" t="s">
        <v>19</v>
      </c>
      <c r="H13" s="36">
        <v>30</v>
      </c>
      <c r="I13" s="36">
        <f t="shared" si="2"/>
        <v>280273</v>
      </c>
      <c r="K13" s="10">
        <v>10</v>
      </c>
      <c r="L13" s="36" t="s">
        <v>24</v>
      </c>
      <c r="M13" s="10">
        <v>24</v>
      </c>
      <c r="N13" s="10">
        <v>15</v>
      </c>
      <c r="O13" s="36" t="str">
        <f t="shared" si="0"/>
        <v>2472A</v>
      </c>
    </row>
    <row r="14" spans="1:21">
      <c r="B14" s="36"/>
      <c r="C14" s="36"/>
      <c r="D14" s="18"/>
      <c r="E14" s="36"/>
      <c r="F14" s="36"/>
      <c r="G14" s="36"/>
      <c r="H14" s="36"/>
      <c r="I14" s="36"/>
      <c r="L14" s="36"/>
    </row>
  </sheetData>
  <mergeCells count="4">
    <mergeCell ref="A2:D2"/>
    <mergeCell ref="F2:I2"/>
    <mergeCell ref="K2:O2"/>
    <mergeCell ref="Q2:T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A1:FJ51"/>
  <sheetViews>
    <sheetView workbookViewId="0"/>
  </sheetViews>
  <sheetFormatPr baseColWidth="10" defaultRowHeight="15"/>
  <cols>
    <col min="1" max="1" width="10" style="10" customWidth="1"/>
    <col min="2" max="2" width="8.6640625" style="10" customWidth="1"/>
    <col min="3" max="3" width="10.83203125" style="10"/>
    <col min="4" max="4" width="14" style="10" customWidth="1"/>
    <col min="5" max="5" width="8.33203125" style="10" customWidth="1"/>
    <col min="6" max="6" width="10.1640625" style="10" customWidth="1"/>
    <col min="7" max="7" width="10.83203125" style="10"/>
    <col min="8" max="8" width="10.5" style="10" customWidth="1"/>
    <col min="9" max="9" width="6.83203125" style="10" customWidth="1"/>
    <col min="10" max="10" width="11.1640625" style="10" customWidth="1"/>
    <col min="11" max="11" width="13.5" style="10" customWidth="1"/>
    <col min="12" max="12" width="10.83203125" style="10"/>
    <col min="13" max="13" width="10" style="10" customWidth="1"/>
    <col min="14" max="14" width="10.83203125" style="10"/>
    <col min="15" max="15" width="10.33203125" style="10" customWidth="1"/>
    <col min="16" max="16" width="10.83203125" style="10"/>
    <col min="17" max="17" width="13.6640625" style="10" customWidth="1"/>
    <col min="18" max="18" width="10.5" style="10" customWidth="1"/>
    <col min="19" max="19" width="7.83203125" style="10" customWidth="1"/>
    <col min="20" max="20" width="10.83203125" style="10"/>
    <col min="21" max="21" width="10.33203125" style="10" customWidth="1"/>
    <col min="22" max="22" width="10.83203125" style="10"/>
    <col min="23" max="23" width="13.33203125" style="10" customWidth="1"/>
    <col min="24" max="24" width="13.1640625" style="10" customWidth="1"/>
    <col min="25" max="25" width="7.5" style="10" customWidth="1"/>
    <col min="26" max="28" width="10.83203125" style="10"/>
    <col min="29" max="29" width="13.6640625" style="10" customWidth="1"/>
    <col min="30" max="33" width="10.83203125" style="10"/>
    <col min="34" max="34" width="13.5" style="10" customWidth="1"/>
    <col min="35" max="38" width="10.83203125" style="10"/>
    <col min="39" max="39" width="13.1640625" style="10" customWidth="1"/>
    <col min="40" max="43" width="10.83203125" style="10"/>
    <col min="44" max="46" width="13.6640625" style="10" customWidth="1"/>
    <col min="47" max="48" width="10.83203125" style="10"/>
    <col min="49" max="49" width="10.33203125" style="10" customWidth="1"/>
    <col min="50" max="50" width="10.83203125" style="10"/>
    <col min="51" max="51" width="15.33203125" style="10" customWidth="1"/>
    <col min="52" max="52" width="13.83203125" style="10" customWidth="1"/>
    <col min="53" max="55" width="10.83203125" style="10"/>
    <col min="56" max="56" width="10.5" style="10" customWidth="1"/>
    <col min="57" max="57" width="10.83203125" style="10"/>
    <col min="58" max="58" width="13.6640625" style="10" customWidth="1"/>
    <col min="59" max="59" width="13.83203125" style="10" customWidth="1"/>
    <col min="60" max="64" width="10.83203125" style="10"/>
    <col min="65" max="65" width="14" style="10" customWidth="1"/>
    <col min="66" max="66" width="12.83203125" style="10" customWidth="1"/>
    <col min="67" max="76" width="10.83203125" style="10"/>
    <col min="77" max="77" width="10.1640625" style="10" customWidth="1"/>
    <col min="78" max="85" width="10.83203125" style="10"/>
    <col min="86" max="86" width="13" style="10" customWidth="1"/>
    <col min="87" max="87" width="18.83203125" style="10" customWidth="1"/>
    <col min="88" max="88" width="22.6640625" style="10" customWidth="1"/>
    <col min="89" max="89" width="12.5" style="10" customWidth="1"/>
    <col min="90" max="90" width="13.1640625" style="10" customWidth="1"/>
    <col min="91" max="91" width="12.5" style="10" customWidth="1"/>
    <col min="92" max="92" width="13.6640625" style="10" customWidth="1"/>
    <col min="93" max="93" width="14.6640625" style="10" customWidth="1"/>
    <col min="94" max="96" width="10.83203125" style="10"/>
    <col min="97" max="97" width="13.1640625" style="10" customWidth="1"/>
    <col min="98" max="98" width="14.1640625" style="10" customWidth="1"/>
    <col min="99" max="99" width="10.83203125" style="10"/>
    <col min="100" max="100" width="13.83203125" style="10" customWidth="1"/>
    <col min="101" max="101" width="13.5" style="10" customWidth="1"/>
    <col min="102" max="103" width="10.83203125" style="10"/>
    <col min="104" max="104" width="13.33203125" style="10" customWidth="1"/>
    <col min="105" max="105" width="13.1640625" style="10" customWidth="1"/>
    <col min="106" max="108" width="12.83203125" style="10" customWidth="1"/>
    <col min="109" max="109" width="15.1640625" style="10" customWidth="1"/>
    <col min="110" max="110" width="15.5" style="10" customWidth="1"/>
    <col min="111" max="111" width="14.5" style="10" bestFit="1" customWidth="1"/>
    <col min="112" max="112" width="15.5" style="10" customWidth="1"/>
    <col min="113" max="113" width="14.5" style="10" customWidth="1"/>
    <col min="114" max="114" width="13.33203125" style="10" customWidth="1"/>
    <col min="115" max="115" width="15.83203125" style="10" customWidth="1"/>
    <col min="116" max="116" width="18.83203125" style="10" customWidth="1"/>
    <col min="117" max="117" width="20.33203125" style="10" customWidth="1"/>
    <col min="118" max="118" width="14.1640625" style="10" customWidth="1"/>
    <col min="119" max="119" width="16.5" style="10" customWidth="1"/>
    <col min="120" max="120" width="16.33203125" style="10" customWidth="1"/>
    <col min="121" max="121" width="15.83203125" style="10" customWidth="1"/>
    <col min="122" max="122" width="16.33203125" style="10" customWidth="1"/>
    <col min="123" max="123" width="15" style="10" customWidth="1"/>
    <col min="124" max="124" width="13.5" style="10" customWidth="1"/>
    <col min="125" max="127" width="13.33203125" style="10" customWidth="1"/>
    <col min="128" max="128" width="14" style="10" customWidth="1"/>
    <col min="129" max="131" width="10.83203125" style="10"/>
    <col min="132" max="132" width="13.6640625" style="10" customWidth="1"/>
    <col min="133" max="133" width="11.5" style="10" customWidth="1"/>
    <col min="134" max="134" width="13.1640625" style="10" customWidth="1"/>
    <col min="135" max="135" width="11.83203125" style="10" customWidth="1"/>
    <col min="136" max="136" width="13.5" style="10" customWidth="1"/>
    <col min="137" max="137" width="12" style="10" customWidth="1"/>
    <col min="138" max="138" width="13" style="10" customWidth="1"/>
    <col min="139" max="139" width="13.83203125" style="10" customWidth="1"/>
    <col min="140" max="143" width="10.83203125" style="10"/>
    <col min="144" max="145" width="13.5" style="10" customWidth="1"/>
    <col min="146" max="147" width="13" style="10" customWidth="1"/>
    <col min="148" max="156" width="10.83203125" style="10"/>
    <col min="157" max="158" width="13.5" style="10" customWidth="1"/>
    <col min="159" max="162" width="10.83203125" style="10"/>
    <col min="163" max="163" width="12.83203125" style="10" customWidth="1"/>
    <col min="164" max="164" width="12.5" style="10" customWidth="1"/>
    <col min="165" max="165" width="12.6640625" style="10" customWidth="1"/>
    <col min="166" max="166" width="12.83203125" style="10" customWidth="1"/>
    <col min="167" max="16384" width="10.83203125" style="10"/>
  </cols>
  <sheetData>
    <row r="1" spans="1:166" ht="100" customHeight="1"/>
    <row r="2" spans="1:166">
      <c r="A2" s="11" t="s">
        <v>82</v>
      </c>
      <c r="B2" s="11"/>
      <c r="C2" s="11"/>
      <c r="D2" s="11"/>
      <c r="E2" s="11"/>
      <c r="F2" s="11"/>
      <c r="G2" s="30"/>
      <c r="H2" s="11" t="s">
        <v>88</v>
      </c>
      <c r="I2" s="11"/>
      <c r="J2" s="11"/>
      <c r="K2" s="11"/>
      <c r="L2" s="11"/>
      <c r="M2" s="11"/>
      <c r="O2" s="11" t="s">
        <v>89</v>
      </c>
      <c r="P2" s="11"/>
      <c r="Q2" s="11"/>
      <c r="R2" s="11"/>
      <c r="S2" s="11"/>
      <c r="U2" s="11" t="s">
        <v>90</v>
      </c>
      <c r="V2" s="11"/>
      <c r="W2" s="11"/>
      <c r="X2" s="11"/>
      <c r="Y2" s="11"/>
      <c r="AA2" s="11" t="s">
        <v>91</v>
      </c>
      <c r="AB2" s="11"/>
      <c r="AC2" s="11"/>
      <c r="AD2" s="11"/>
      <c r="AF2" s="11" t="s">
        <v>92</v>
      </c>
      <c r="AG2" s="11"/>
      <c r="AH2" s="11"/>
      <c r="AI2" s="11"/>
      <c r="AK2" s="11" t="s">
        <v>93</v>
      </c>
      <c r="AL2" s="11"/>
      <c r="AM2" s="11"/>
      <c r="AN2" s="11"/>
      <c r="AP2" s="11" t="s">
        <v>114</v>
      </c>
      <c r="AQ2" s="11"/>
      <c r="AR2" s="11"/>
      <c r="AS2" s="11"/>
      <c r="AT2" s="11"/>
      <c r="AU2" s="11"/>
      <c r="AW2" s="11" t="s">
        <v>119</v>
      </c>
      <c r="AX2" s="11"/>
      <c r="AY2" s="11"/>
      <c r="AZ2" s="11"/>
      <c r="BA2" s="11"/>
      <c r="BB2" s="11"/>
      <c r="BD2" s="11" t="s">
        <v>120</v>
      </c>
      <c r="BE2" s="11"/>
      <c r="BF2" s="11"/>
      <c r="BG2" s="11"/>
      <c r="BH2" s="11"/>
      <c r="BI2" s="11"/>
      <c r="BK2" s="11" t="s">
        <v>121</v>
      </c>
      <c r="BL2" s="11"/>
      <c r="BM2" s="11"/>
      <c r="BN2" s="11"/>
      <c r="BO2" s="11"/>
      <c r="BP2" s="11"/>
      <c r="BR2" s="11" t="s">
        <v>122</v>
      </c>
      <c r="BS2" s="11"/>
      <c r="BT2" s="11"/>
      <c r="BU2" s="11"/>
      <c r="BV2" s="11"/>
      <c r="BW2" s="11"/>
      <c r="BY2" s="11" t="s">
        <v>123</v>
      </c>
      <c r="BZ2" s="11"/>
      <c r="CA2" s="11"/>
      <c r="CB2" s="11"/>
      <c r="CC2" s="11"/>
      <c r="CD2" s="11"/>
      <c r="CF2" s="11" t="s">
        <v>124</v>
      </c>
      <c r="CG2" s="11"/>
      <c r="CH2" s="11"/>
      <c r="CI2" s="11"/>
      <c r="CJ2" s="11"/>
      <c r="CK2" s="11"/>
      <c r="CL2" s="11"/>
      <c r="CM2" s="11"/>
      <c r="CN2" s="11"/>
      <c r="CO2" s="11"/>
      <c r="CQ2" s="11" t="s">
        <v>178</v>
      </c>
      <c r="CR2" s="11"/>
      <c r="CS2" s="11"/>
      <c r="CT2" s="11"/>
      <c r="CU2" s="11"/>
      <c r="CV2" s="11"/>
      <c r="CW2" s="11"/>
      <c r="CY2" s="11" t="s">
        <v>195</v>
      </c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Z2" s="11" t="s">
        <v>193</v>
      </c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S2" s="11" t="s">
        <v>194</v>
      </c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</row>
    <row r="3" spans="1:166" ht="32">
      <c r="A3" s="31" t="s">
        <v>4</v>
      </c>
      <c r="B3" s="31" t="s">
        <v>84</v>
      </c>
      <c r="C3" s="31" t="s">
        <v>85</v>
      </c>
      <c r="D3" s="31" t="s">
        <v>86</v>
      </c>
      <c r="E3" s="31" t="s">
        <v>87</v>
      </c>
      <c r="F3" s="31" t="s">
        <v>83</v>
      </c>
      <c r="G3" s="31"/>
      <c r="H3" s="31" t="s">
        <v>4</v>
      </c>
      <c r="I3" s="31" t="s">
        <v>84</v>
      </c>
      <c r="J3" s="31" t="s">
        <v>85</v>
      </c>
      <c r="K3" s="31" t="s">
        <v>86</v>
      </c>
      <c r="L3" s="31" t="s">
        <v>87</v>
      </c>
      <c r="M3" s="31" t="s">
        <v>83</v>
      </c>
      <c r="O3" s="31" t="s">
        <v>4</v>
      </c>
      <c r="P3" s="31" t="s">
        <v>85</v>
      </c>
      <c r="Q3" s="31" t="s">
        <v>86</v>
      </c>
      <c r="R3" s="31" t="s">
        <v>83</v>
      </c>
      <c r="S3" s="31" t="s">
        <v>84</v>
      </c>
      <c r="U3" s="31" t="s">
        <v>4</v>
      </c>
      <c r="V3" s="31" t="s">
        <v>85</v>
      </c>
      <c r="W3" s="31" t="s">
        <v>86</v>
      </c>
      <c r="X3" s="31" t="s">
        <v>83</v>
      </c>
      <c r="Y3" s="31" t="s">
        <v>84</v>
      </c>
      <c r="AA3" s="31" t="s">
        <v>4</v>
      </c>
      <c r="AB3" s="31" t="s">
        <v>84</v>
      </c>
      <c r="AC3" s="31" t="s">
        <v>86</v>
      </c>
      <c r="AD3" s="31" t="s">
        <v>83</v>
      </c>
      <c r="AF3" s="31" t="s">
        <v>4</v>
      </c>
      <c r="AG3" s="31" t="s">
        <v>84</v>
      </c>
      <c r="AH3" s="31" t="s">
        <v>86</v>
      </c>
      <c r="AI3" s="31" t="s">
        <v>83</v>
      </c>
      <c r="AK3" s="31" t="s">
        <v>4</v>
      </c>
      <c r="AL3" s="31" t="s">
        <v>84</v>
      </c>
      <c r="AM3" s="31" t="s">
        <v>86</v>
      </c>
      <c r="AN3" s="31" t="s">
        <v>83</v>
      </c>
      <c r="AP3" s="31" t="s">
        <v>4</v>
      </c>
      <c r="AQ3" s="31" t="s">
        <v>85</v>
      </c>
      <c r="AR3" s="31" t="s">
        <v>115</v>
      </c>
      <c r="AS3" s="31" t="s">
        <v>116</v>
      </c>
      <c r="AT3" s="31" t="s">
        <v>118</v>
      </c>
      <c r="AU3" s="31" t="s">
        <v>117</v>
      </c>
      <c r="AW3" s="31" t="s">
        <v>4</v>
      </c>
      <c r="AX3" s="31" t="s">
        <v>85</v>
      </c>
      <c r="AY3" s="31" t="s">
        <v>115</v>
      </c>
      <c r="AZ3" s="31" t="s">
        <v>116</v>
      </c>
      <c r="BA3" s="31" t="s">
        <v>118</v>
      </c>
      <c r="BB3" s="31" t="s">
        <v>117</v>
      </c>
      <c r="BD3" s="31" t="s">
        <v>4</v>
      </c>
      <c r="BE3" s="31" t="s">
        <v>85</v>
      </c>
      <c r="BF3" s="31" t="s">
        <v>115</v>
      </c>
      <c r="BG3" s="31" t="s">
        <v>116</v>
      </c>
      <c r="BH3" s="31" t="s">
        <v>118</v>
      </c>
      <c r="BI3" s="31" t="s">
        <v>117</v>
      </c>
      <c r="BK3" s="31" t="s">
        <v>4</v>
      </c>
      <c r="BL3" s="31" t="s">
        <v>85</v>
      </c>
      <c r="BM3" s="31" t="s">
        <v>115</v>
      </c>
      <c r="BN3" s="31" t="s">
        <v>116</v>
      </c>
      <c r="BO3" s="31" t="s">
        <v>118</v>
      </c>
      <c r="BP3" s="31" t="s">
        <v>117</v>
      </c>
      <c r="BR3" s="31" t="s">
        <v>4</v>
      </c>
      <c r="BS3" s="31" t="s">
        <v>85</v>
      </c>
      <c r="BT3" s="31" t="s">
        <v>115</v>
      </c>
      <c r="BU3" s="31" t="s">
        <v>116</v>
      </c>
      <c r="BV3" s="31" t="s">
        <v>118</v>
      </c>
      <c r="BW3" s="31" t="s">
        <v>117</v>
      </c>
      <c r="BY3" s="31" t="s">
        <v>4</v>
      </c>
      <c r="BZ3" s="31" t="s">
        <v>85</v>
      </c>
      <c r="CA3" s="31" t="s">
        <v>115</v>
      </c>
      <c r="CB3" s="31" t="s">
        <v>116</v>
      </c>
      <c r="CC3" s="31" t="s">
        <v>118</v>
      </c>
      <c r="CD3" s="31" t="s">
        <v>117</v>
      </c>
      <c r="CF3" s="31" t="s">
        <v>4</v>
      </c>
      <c r="CG3" s="31" t="s">
        <v>85</v>
      </c>
      <c r="CH3" s="31" t="s">
        <v>125</v>
      </c>
      <c r="CI3" s="31" t="s">
        <v>126</v>
      </c>
      <c r="CJ3" s="31" t="s">
        <v>127</v>
      </c>
      <c r="CK3" s="31" t="s">
        <v>130</v>
      </c>
      <c r="CL3" s="31" t="s">
        <v>131</v>
      </c>
      <c r="CM3" s="31" t="s">
        <v>130</v>
      </c>
      <c r="CN3" s="31" t="s">
        <v>131</v>
      </c>
      <c r="CO3" s="31" t="s">
        <v>128</v>
      </c>
      <c r="CQ3" s="31" t="s">
        <v>4</v>
      </c>
      <c r="CR3" s="31" t="s">
        <v>85</v>
      </c>
      <c r="CS3" s="31" t="s">
        <v>125</v>
      </c>
      <c r="CT3" s="31" t="s">
        <v>147</v>
      </c>
      <c r="CU3" s="31" t="s">
        <v>130</v>
      </c>
      <c r="CV3" s="31" t="s">
        <v>131</v>
      </c>
      <c r="CW3" s="31" t="s">
        <v>128</v>
      </c>
      <c r="CY3" s="31" t="s">
        <v>4</v>
      </c>
      <c r="CZ3" s="31" t="s">
        <v>148</v>
      </c>
      <c r="DA3" s="31" t="s">
        <v>149</v>
      </c>
      <c r="DB3" s="31" t="s">
        <v>150</v>
      </c>
      <c r="DC3" s="31" t="s">
        <v>151</v>
      </c>
      <c r="DD3" s="31" t="s">
        <v>158</v>
      </c>
      <c r="DE3" s="31" t="s">
        <v>159</v>
      </c>
      <c r="DF3" s="31" t="s">
        <v>160</v>
      </c>
      <c r="DG3" s="31" t="s">
        <v>161</v>
      </c>
      <c r="DH3" s="31" t="s">
        <v>162</v>
      </c>
      <c r="DI3" s="31" t="s">
        <v>163</v>
      </c>
      <c r="DJ3" s="31" t="s">
        <v>164</v>
      </c>
      <c r="DK3" s="31" t="s">
        <v>165</v>
      </c>
      <c r="DL3" s="31" t="s">
        <v>166</v>
      </c>
      <c r="DM3" s="31" t="s">
        <v>167</v>
      </c>
      <c r="DN3" s="31" t="s">
        <v>152</v>
      </c>
      <c r="DO3" s="31" t="s">
        <v>153</v>
      </c>
      <c r="DP3" s="31" t="s">
        <v>154</v>
      </c>
      <c r="DQ3" s="31" t="s">
        <v>155</v>
      </c>
      <c r="DR3" s="31" t="s">
        <v>156</v>
      </c>
      <c r="DS3" s="31" t="s">
        <v>157</v>
      </c>
      <c r="DT3" s="31" t="s">
        <v>130</v>
      </c>
      <c r="DU3" s="31" t="s">
        <v>131</v>
      </c>
      <c r="DV3" s="31" t="s">
        <v>130</v>
      </c>
      <c r="DW3" s="31" t="s">
        <v>131</v>
      </c>
      <c r="DX3" s="31" t="s">
        <v>128</v>
      </c>
      <c r="DZ3" s="31" t="s">
        <v>4</v>
      </c>
      <c r="EA3" s="31" t="s">
        <v>179</v>
      </c>
      <c r="EB3" s="31" t="s">
        <v>115</v>
      </c>
      <c r="EC3" s="31" t="s">
        <v>180</v>
      </c>
      <c r="ED3" s="31" t="s">
        <v>116</v>
      </c>
      <c r="EE3" s="31" t="s">
        <v>181</v>
      </c>
      <c r="EF3" s="31" t="s">
        <v>183</v>
      </c>
      <c r="EG3" s="31" t="s">
        <v>182</v>
      </c>
      <c r="EH3" s="31" t="s">
        <v>184</v>
      </c>
      <c r="EI3" s="31" t="s">
        <v>129</v>
      </c>
      <c r="EJ3" s="31" t="s">
        <v>185</v>
      </c>
      <c r="EK3" s="31" t="s">
        <v>188</v>
      </c>
      <c r="EL3" s="31" t="s">
        <v>187</v>
      </c>
      <c r="EM3" s="31" t="s">
        <v>186</v>
      </c>
      <c r="EN3" s="31" t="s">
        <v>189</v>
      </c>
      <c r="EO3" s="31" t="s">
        <v>190</v>
      </c>
      <c r="EP3" s="31" t="s">
        <v>191</v>
      </c>
      <c r="EQ3" s="31" t="s">
        <v>192</v>
      </c>
      <c r="ER3" s="31"/>
      <c r="ES3" s="31" t="s">
        <v>4</v>
      </c>
      <c r="ET3" s="31" t="s">
        <v>179</v>
      </c>
      <c r="EU3" s="31" t="s">
        <v>115</v>
      </c>
      <c r="EV3" s="31" t="s">
        <v>180</v>
      </c>
      <c r="EW3" s="31" t="s">
        <v>116</v>
      </c>
      <c r="EX3" s="31" t="s">
        <v>181</v>
      </c>
      <c r="EY3" s="31" t="s">
        <v>183</v>
      </c>
      <c r="EZ3" s="31" t="s">
        <v>182</v>
      </c>
      <c r="FA3" s="31" t="s">
        <v>184</v>
      </c>
      <c r="FB3" s="31" t="s">
        <v>129</v>
      </c>
      <c r="FC3" s="31" t="s">
        <v>185</v>
      </c>
      <c r="FD3" s="31" t="s">
        <v>188</v>
      </c>
      <c r="FE3" s="31" t="s">
        <v>187</v>
      </c>
      <c r="FF3" s="31" t="s">
        <v>186</v>
      </c>
      <c r="FG3" s="31" t="s">
        <v>189</v>
      </c>
      <c r="FH3" s="31" t="s">
        <v>190</v>
      </c>
      <c r="FI3" s="31" t="s">
        <v>191</v>
      </c>
      <c r="FJ3" s="31" t="s">
        <v>192</v>
      </c>
    </row>
    <row r="4" spans="1:166" ht="18">
      <c r="A4" s="10">
        <v>1</v>
      </c>
      <c r="B4" s="39">
        <v>1</v>
      </c>
      <c r="C4" s="39">
        <v>1</v>
      </c>
      <c r="D4" s="39">
        <v>2</v>
      </c>
      <c r="E4" s="82">
        <f>B4+C4/D4</f>
        <v>1.5</v>
      </c>
      <c r="F4" s="36" t="str">
        <f>Quebrado(B4,C4,D4)</f>
        <v>3/2</v>
      </c>
      <c r="H4" s="10">
        <v>1</v>
      </c>
      <c r="I4" s="39">
        <v>15</v>
      </c>
      <c r="J4" s="39">
        <v>3</v>
      </c>
      <c r="K4" s="39">
        <v>8</v>
      </c>
      <c r="L4" s="20">
        <f>I4+J4/K4</f>
        <v>15.375</v>
      </c>
      <c r="M4" s="36" t="str">
        <f>Quebrado(I4,J4,K4)</f>
        <v>123/8</v>
      </c>
      <c r="O4" s="10">
        <v>1</v>
      </c>
      <c r="P4" s="39">
        <v>12</v>
      </c>
      <c r="Q4" s="39">
        <v>3</v>
      </c>
      <c r="R4" s="37" t="str">
        <f>Quebrado(0,P4,Q4)</f>
        <v>12/3</v>
      </c>
      <c r="S4" s="18">
        <f>QUOTIENT(P4,Q4)</f>
        <v>4</v>
      </c>
      <c r="U4" s="10">
        <v>1</v>
      </c>
      <c r="V4" s="15">
        <v>115</v>
      </c>
      <c r="W4" s="15">
        <v>35</v>
      </c>
      <c r="X4" s="37" t="str">
        <f>Quebrado(0,V4,W4)</f>
        <v>115/35</v>
      </c>
      <c r="Y4" s="18">
        <f>QUOTIENT(V4,W4)</f>
        <v>3</v>
      </c>
      <c r="AA4" s="10">
        <v>1</v>
      </c>
      <c r="AB4" s="15">
        <v>2</v>
      </c>
      <c r="AC4" s="15">
        <v>2</v>
      </c>
      <c r="AD4" s="37" t="str">
        <f>Quebrado(AB4,0,AC4)</f>
        <v>4/2</v>
      </c>
      <c r="AF4" s="10">
        <v>1</v>
      </c>
      <c r="AG4" s="15">
        <v>2</v>
      </c>
      <c r="AH4" s="15">
        <v>3</v>
      </c>
      <c r="AI4" s="37" t="str">
        <f>Quebrado(AG4,0,AH4)</f>
        <v>6/3</v>
      </c>
      <c r="AK4" s="10">
        <v>1</v>
      </c>
      <c r="AL4" s="15">
        <v>96</v>
      </c>
      <c r="AM4" s="15">
        <v>15</v>
      </c>
      <c r="AN4" s="37" t="str">
        <f>Quebrado(AL4,0,AM4)</f>
        <v>1440/15</v>
      </c>
      <c r="AP4" s="10">
        <v>1</v>
      </c>
      <c r="AQ4" s="15">
        <v>1</v>
      </c>
      <c r="AR4" s="15">
        <v>2</v>
      </c>
      <c r="AS4" s="15">
        <v>4</v>
      </c>
      <c r="AT4" s="37" t="str">
        <f>Quebrado(0,AQ4,AR4)</f>
        <v>1/2</v>
      </c>
      <c r="AU4" s="37" t="str">
        <f>Quebrado(0,(AS4/AR4)*AQ4,AS4)</f>
        <v>2/4</v>
      </c>
      <c r="AW4" s="10">
        <v>1</v>
      </c>
      <c r="AX4" s="15">
        <v>3</v>
      </c>
      <c r="AY4" s="15">
        <v>5</v>
      </c>
      <c r="AZ4" s="15">
        <v>35</v>
      </c>
      <c r="BA4" s="37" t="str">
        <f>Quebrado(0,AX4,AY4)</f>
        <v>3/5</v>
      </c>
      <c r="BB4" s="37" t="str">
        <f>Quebrado(0,(AZ4/AY4)*AX4,AZ4)</f>
        <v>21/35</v>
      </c>
      <c r="BD4" s="10">
        <v>1</v>
      </c>
      <c r="BE4" s="15">
        <v>11</v>
      </c>
      <c r="BF4" s="15">
        <v>76</v>
      </c>
      <c r="BG4" s="15">
        <v>684</v>
      </c>
      <c r="BH4" s="37" t="str">
        <f>Quebrado(0,BE4,BF4)</f>
        <v>11/76</v>
      </c>
      <c r="BI4" s="37" t="str">
        <f>Quebrado(0,(BG4/BF4)*BE4,BG4)</f>
        <v>99/684</v>
      </c>
      <c r="BK4" s="10">
        <v>1</v>
      </c>
      <c r="BL4" s="15">
        <v>2</v>
      </c>
      <c r="BM4" s="15">
        <v>4</v>
      </c>
      <c r="BN4" s="15">
        <v>2</v>
      </c>
      <c r="BO4" s="37" t="str">
        <f>Quebrado(0,BL4,BM4)</f>
        <v>2/4</v>
      </c>
      <c r="BP4" s="37" t="str">
        <f>Quebrado(0,(BN4/BM4)*BL4,BN4)</f>
        <v>1/2</v>
      </c>
      <c r="BR4" s="10">
        <v>1</v>
      </c>
      <c r="BS4" s="15">
        <v>7</v>
      </c>
      <c r="BT4" s="15">
        <v>14</v>
      </c>
      <c r="BU4" s="15">
        <v>2</v>
      </c>
      <c r="BV4" s="37" t="str">
        <f>Quebrado(0,BS4,BT4)</f>
        <v>7/14</v>
      </c>
      <c r="BW4" s="37" t="str">
        <f>Quebrado(0,(BU4/BT4)*BS4,BU4)</f>
        <v>1/2</v>
      </c>
      <c r="BY4" s="10">
        <v>1</v>
      </c>
      <c r="BZ4" s="15">
        <v>84</v>
      </c>
      <c r="CA4" s="15">
        <v>595</v>
      </c>
      <c r="CB4" s="15">
        <v>85</v>
      </c>
      <c r="CC4" s="37" t="str">
        <f>Quebrado(0,BZ4,CA4)</f>
        <v>84/595</v>
      </c>
      <c r="CD4" s="37" t="str">
        <f>Quebrado(0,(CB4/CA4)*BZ4,CB4)</f>
        <v>12/85</v>
      </c>
      <c r="CF4" s="10">
        <v>1</v>
      </c>
      <c r="CG4" s="15">
        <v>28</v>
      </c>
      <c r="CH4" s="15">
        <v>36</v>
      </c>
      <c r="CI4" s="15" t="str">
        <f>factores(CG4)</f>
        <v>7*2*2*1</v>
      </c>
      <c r="CJ4" s="15" t="str">
        <f>factores(CH4)</f>
        <v>3*3*2*2*1</v>
      </c>
      <c r="CK4" s="51">
        <v>7</v>
      </c>
      <c r="CL4" s="51" t="s">
        <v>144</v>
      </c>
      <c r="CM4" s="15">
        <v>7</v>
      </c>
      <c r="CN4" s="15">
        <f>3^2</f>
        <v>9</v>
      </c>
      <c r="CO4" s="36" t="str">
        <f>Quebrado(0,CM4,CN4)</f>
        <v>7/9</v>
      </c>
      <c r="CQ4" s="10">
        <v>1</v>
      </c>
      <c r="CR4" s="15">
        <v>98</v>
      </c>
      <c r="CS4" s="15">
        <v>147</v>
      </c>
      <c r="CT4" s="15">
        <f>GCD(CR4,CS4)</f>
        <v>49</v>
      </c>
      <c r="CU4" s="15">
        <f>CR4/CT4</f>
        <v>2</v>
      </c>
      <c r="CV4" s="15">
        <f>CS4/CT4</f>
        <v>3</v>
      </c>
      <c r="CW4" s="36" t="str">
        <f>Quebrado(0,CU4,CV4)</f>
        <v>2/3</v>
      </c>
      <c r="CY4" s="10">
        <v>1</v>
      </c>
      <c r="CZ4" s="10">
        <v>2</v>
      </c>
      <c r="DA4" s="10">
        <v>6</v>
      </c>
      <c r="DE4" s="10">
        <v>6</v>
      </c>
      <c r="DF4" s="10">
        <v>8</v>
      </c>
      <c r="DJ4" s="36" t="str">
        <f>factores(CZ4)</f>
        <v>2*1</v>
      </c>
      <c r="DK4" s="36" t="str">
        <f>factores(DA4)</f>
        <v>3*2*1</v>
      </c>
      <c r="DL4" s="36"/>
      <c r="DM4" s="36"/>
      <c r="DN4" s="36"/>
      <c r="DO4" s="36" t="str">
        <f t="shared" ref="DK4:DS15" si="0">factores(DE4)</f>
        <v>3*2*1</v>
      </c>
      <c r="DP4" s="36" t="str">
        <f t="shared" si="0"/>
        <v>2*2*2*1</v>
      </c>
      <c r="DQ4" s="36"/>
      <c r="DR4" s="36"/>
      <c r="DS4" s="36"/>
      <c r="DT4" s="51">
        <v>1</v>
      </c>
      <c r="DU4" s="51" t="s">
        <v>176</v>
      </c>
      <c r="DV4" s="36">
        <v>1</v>
      </c>
      <c r="DW4" s="36">
        <f>2^2</f>
        <v>4</v>
      </c>
      <c r="DX4" s="20">
        <f>DV4/DW4</f>
        <v>0.25</v>
      </c>
      <c r="DZ4" s="10">
        <v>1</v>
      </c>
      <c r="EA4" s="10">
        <v>1</v>
      </c>
      <c r="EB4" s="10">
        <v>2</v>
      </c>
      <c r="EC4" s="10">
        <v>1</v>
      </c>
      <c r="ED4" s="10">
        <v>4</v>
      </c>
      <c r="EI4" s="10">
        <f>LCM(EH4,LCM(EF4,LCM(ED4,EB4)))</f>
        <v>4</v>
      </c>
      <c r="EJ4" s="10">
        <f>(EI4/EB4)*EA4</f>
        <v>2</v>
      </c>
      <c r="EK4" s="10">
        <f>(EI4/ED4)*EC4</f>
        <v>1</v>
      </c>
      <c r="EN4" s="10" t="str">
        <f>Quebrado(0,EJ4,EI4)</f>
        <v>2/4</v>
      </c>
      <c r="EO4" s="10" t="str">
        <f>Quebrado(0,EK4,EI4)</f>
        <v>1/4</v>
      </c>
      <c r="ES4" s="10">
        <v>1</v>
      </c>
      <c r="ET4" s="10">
        <v>3</v>
      </c>
      <c r="EU4" s="10">
        <v>8</v>
      </c>
      <c r="EV4" s="10">
        <v>7</v>
      </c>
      <c r="EW4" s="10">
        <v>30</v>
      </c>
      <c r="FB4" s="10">
        <f>LCM(FA4,LCM(EY4,LCM(EW4,EU4)))</f>
        <v>120</v>
      </c>
      <c r="FC4" s="10">
        <f>(FB4/EU4)*ET4</f>
        <v>45</v>
      </c>
      <c r="FD4" s="10">
        <f>(FB4/EW4)*EV4</f>
        <v>28</v>
      </c>
      <c r="FG4" s="10" t="str">
        <f>Quebrado(0,FC4,FB4)</f>
        <v>45/120</v>
      </c>
      <c r="FH4" s="10" t="str">
        <f>Quebrado(0,FD4,FB4)</f>
        <v>28/120</v>
      </c>
    </row>
    <row r="5" spans="1:166">
      <c r="A5" s="10">
        <v>2</v>
      </c>
      <c r="B5" s="39">
        <v>1</v>
      </c>
      <c r="C5" s="10">
        <v>1</v>
      </c>
      <c r="D5" s="10">
        <v>4</v>
      </c>
      <c r="E5" s="82">
        <f t="shared" ref="E5:E23" si="1">B5+C5/D5</f>
        <v>1.25</v>
      </c>
      <c r="F5" s="36" t="str">
        <f t="shared" ref="F5:F23" si="2">Quebrado(B5,C5,D5)</f>
        <v>5/4</v>
      </c>
      <c r="H5" s="10">
        <v>2</v>
      </c>
      <c r="I5" s="39">
        <v>12</v>
      </c>
      <c r="J5" s="10">
        <v>3</v>
      </c>
      <c r="K5" s="10">
        <v>11</v>
      </c>
      <c r="L5" s="20">
        <f t="shared" ref="L5:L23" si="3">I5+J5/K5</f>
        <v>12.272727272727273</v>
      </c>
      <c r="M5" s="36" t="str">
        <f t="shared" ref="M5:M23" si="4">Quebrado(I5,J5,K5)</f>
        <v>135/11</v>
      </c>
      <c r="O5" s="10">
        <v>2</v>
      </c>
      <c r="P5" s="10">
        <v>21</v>
      </c>
      <c r="Q5" s="10">
        <v>7</v>
      </c>
      <c r="R5" s="37" t="str">
        <f t="shared" ref="R5:R23" si="5">Quebrado(0,P5,Q5)</f>
        <v>21/7</v>
      </c>
      <c r="S5" s="18">
        <f t="shared" ref="S5:S23" si="6">QUOTIENT(P5,Q5)</f>
        <v>3</v>
      </c>
      <c r="U5" s="10">
        <v>2</v>
      </c>
      <c r="V5" s="15">
        <v>174</v>
      </c>
      <c r="W5" s="15">
        <v>53</v>
      </c>
      <c r="X5" s="37" t="str">
        <f t="shared" ref="X5:X28" si="7">Quebrado(0,V5,W5)</f>
        <v>174/53</v>
      </c>
      <c r="Y5" s="18">
        <f t="shared" ref="Y5:Y28" si="8">QUOTIENT(V5,W5)</f>
        <v>3</v>
      </c>
      <c r="AA5" s="10">
        <v>2</v>
      </c>
      <c r="AB5" s="15">
        <v>3</v>
      </c>
      <c r="AC5" s="15">
        <v>2</v>
      </c>
      <c r="AD5" s="37" t="str">
        <f t="shared" ref="AD5:AD23" si="9">Quebrado(AB5,0,AC5)</f>
        <v>6/2</v>
      </c>
      <c r="AF5" s="10">
        <v>2</v>
      </c>
      <c r="AG5" s="15">
        <v>3</v>
      </c>
      <c r="AH5" s="15">
        <v>4</v>
      </c>
      <c r="AI5" s="37" t="str">
        <f t="shared" ref="AI5:AI23" si="10">Quebrado(AG5,0,AH5)</f>
        <v>12/4</v>
      </c>
      <c r="AK5" s="10">
        <v>2</v>
      </c>
      <c r="AL5" s="15">
        <v>99</v>
      </c>
      <c r="AM5" s="15">
        <v>23</v>
      </c>
      <c r="AN5" s="37" t="str">
        <f t="shared" ref="AN5:AN17" si="11">Quebrado(AL5,0,AM5)</f>
        <v>2277/23</v>
      </c>
      <c r="AP5" s="10">
        <v>2</v>
      </c>
      <c r="AQ5" s="15">
        <v>1</v>
      </c>
      <c r="AR5" s="15">
        <v>3</v>
      </c>
      <c r="AS5" s="15">
        <v>6</v>
      </c>
      <c r="AT5" s="37" t="str">
        <f t="shared" ref="AT5:AT23" si="12">Quebrado(0,AQ5,AR5)</f>
        <v>1/3</v>
      </c>
      <c r="AU5" s="37" t="str">
        <f t="shared" ref="AU5:AU23" si="13">Quebrado(0,(AS5/AR5)*AQ5,AS5)</f>
        <v>2/6</v>
      </c>
      <c r="AW5" s="10">
        <v>2</v>
      </c>
      <c r="AX5" s="15">
        <v>1</v>
      </c>
      <c r="AY5" s="15">
        <v>6</v>
      </c>
      <c r="AZ5" s="15">
        <v>42</v>
      </c>
      <c r="BA5" s="37" t="str">
        <f t="shared" ref="BA5:BA23" si="14">Quebrado(0,AX5,AY5)</f>
        <v>1/6</v>
      </c>
      <c r="BB5" s="37" t="str">
        <f t="shared" ref="BB5:BB23" si="15">Quebrado(0,(AZ5/AY5)*AX5,AZ5)</f>
        <v>7/42</v>
      </c>
      <c r="BD5" s="10">
        <v>2</v>
      </c>
      <c r="BE5" s="15">
        <v>7</v>
      </c>
      <c r="BF5" s="15">
        <v>65</v>
      </c>
      <c r="BG5" s="15">
        <v>520</v>
      </c>
      <c r="BH5" s="37" t="str">
        <f t="shared" ref="BH5:BH17" si="16">Quebrado(0,BE5,BF5)</f>
        <v>7/65</v>
      </c>
      <c r="BI5" s="37" t="str">
        <f t="shared" ref="BI5:BI17" si="17">Quebrado(0,(BG5/BF5)*BE5,BG5)</f>
        <v>56/520</v>
      </c>
      <c r="BK5" s="10">
        <v>2</v>
      </c>
      <c r="BL5" s="15">
        <v>4</v>
      </c>
      <c r="BM5" s="15">
        <v>6</v>
      </c>
      <c r="BN5" s="15">
        <v>3</v>
      </c>
      <c r="BO5" s="37" t="str">
        <f t="shared" ref="BO5:BO23" si="18">Quebrado(0,BL5,BM5)</f>
        <v>4/6</v>
      </c>
      <c r="BP5" s="37" t="str">
        <f t="shared" ref="BP5:BP23" si="19">Quebrado(0,(BN5/BM5)*BL5,BN5)</f>
        <v>2/3</v>
      </c>
      <c r="BR5" s="10">
        <v>2</v>
      </c>
      <c r="BS5" s="15">
        <v>6</v>
      </c>
      <c r="BT5" s="15">
        <v>15</v>
      </c>
      <c r="BU5" s="15">
        <v>5</v>
      </c>
      <c r="BV5" s="37" t="str">
        <f t="shared" ref="BV5:BV23" si="20">Quebrado(0,BS5,BT5)</f>
        <v>6/15</v>
      </c>
      <c r="BW5" s="37" t="str">
        <f t="shared" ref="BW5:BW23" si="21">Quebrado(0,(BU5/BT5)*BS5,BU5)</f>
        <v>2/5</v>
      </c>
      <c r="BY5" s="10">
        <v>2</v>
      </c>
      <c r="BZ5" s="15">
        <v>91</v>
      </c>
      <c r="CA5" s="15">
        <v>672</v>
      </c>
      <c r="CB5" s="15">
        <v>96</v>
      </c>
      <c r="CC5" s="37" t="str">
        <f t="shared" ref="CC5:CC17" si="22">Quebrado(0,BZ5,CA5)</f>
        <v>91/672</v>
      </c>
      <c r="CD5" s="37" t="str">
        <f t="shared" ref="CD5:CD17" si="23">Quebrado(0,(CB5/CA5)*BZ5,CB5)</f>
        <v>13/96</v>
      </c>
      <c r="CF5" s="10">
        <v>2</v>
      </c>
      <c r="CG5" s="15">
        <v>54</v>
      </c>
      <c r="CH5" s="15">
        <v>108</v>
      </c>
      <c r="CI5" s="15" t="str">
        <f t="shared" ref="CI5:CI33" si="24">factores(CG5)</f>
        <v>3*3*3*2*1</v>
      </c>
      <c r="CJ5" s="15" t="str">
        <f t="shared" ref="CJ5:CJ33" si="25">factores(CH5)</f>
        <v>3*3*3*2*2*1</v>
      </c>
      <c r="CK5" s="51">
        <v>1</v>
      </c>
      <c r="CL5" s="51">
        <v>2</v>
      </c>
      <c r="CM5" s="15">
        <v>1</v>
      </c>
      <c r="CN5" s="15">
        <v>2</v>
      </c>
      <c r="CO5" s="36" t="str">
        <f t="shared" ref="CO5:CO33" si="26">Quebrado(0,CM5,CN5)</f>
        <v>1/2</v>
      </c>
      <c r="CQ5" s="10">
        <v>2</v>
      </c>
      <c r="CR5" s="15">
        <v>273</v>
      </c>
      <c r="CS5" s="15">
        <v>637</v>
      </c>
      <c r="CT5" s="15">
        <f t="shared" ref="CT5:CT33" si="27">GCD(CR5,CS5)</f>
        <v>91</v>
      </c>
      <c r="CU5" s="15">
        <f t="shared" ref="CU5:CU33" si="28">CR5/CT5</f>
        <v>3</v>
      </c>
      <c r="CV5" s="15">
        <f t="shared" ref="CV5:CV33" si="29">CS5/CT5</f>
        <v>7</v>
      </c>
      <c r="CW5" s="36" t="str">
        <f t="shared" ref="CW5:CW33" si="30">Quebrado(0,CU5,CV5)</f>
        <v>3/7</v>
      </c>
      <c r="CY5" s="10">
        <v>2</v>
      </c>
      <c r="CZ5" s="10">
        <v>10</v>
      </c>
      <c r="DA5" s="10">
        <v>7</v>
      </c>
      <c r="DE5" s="10">
        <v>7</v>
      </c>
      <c r="DF5" s="10">
        <v>5</v>
      </c>
      <c r="DJ5" s="36" t="str">
        <f t="shared" ref="DJ5:DJ15" si="31">factores(CZ5)</f>
        <v>5*2*1</v>
      </c>
      <c r="DK5" s="36" t="str">
        <f t="shared" si="0"/>
        <v>7*1</v>
      </c>
      <c r="DL5" s="36"/>
      <c r="DM5" s="36"/>
      <c r="DN5" s="36"/>
      <c r="DO5" s="36" t="str">
        <f t="shared" si="0"/>
        <v>7*1</v>
      </c>
      <c r="DP5" s="36" t="str">
        <f t="shared" si="0"/>
        <v>5*1</v>
      </c>
      <c r="DQ5" s="36"/>
      <c r="DR5" s="36"/>
      <c r="DS5" s="36"/>
      <c r="DT5" s="51">
        <v>2</v>
      </c>
      <c r="DU5" s="51">
        <v>1</v>
      </c>
      <c r="DV5" s="36">
        <v>2</v>
      </c>
      <c r="DW5" s="36">
        <v>1</v>
      </c>
      <c r="DX5" s="20">
        <f t="shared" ref="DX5:DX15" si="32">DV5/DW5</f>
        <v>2</v>
      </c>
      <c r="DZ5" s="10">
        <v>2</v>
      </c>
      <c r="EA5" s="10">
        <v>1</v>
      </c>
      <c r="EB5" s="10">
        <v>3</v>
      </c>
      <c r="EC5" s="10">
        <v>1</v>
      </c>
      <c r="ED5" s="10">
        <v>6</v>
      </c>
      <c r="EI5" s="10">
        <f t="shared" ref="EI5:EI23" si="33">LCM(EH5,LCM(EF5,LCM(ED5,EB5)))</f>
        <v>6</v>
      </c>
      <c r="EJ5" s="10">
        <f t="shared" ref="EJ5:EJ23" si="34">(EI5/EB5)*EA5</f>
        <v>2</v>
      </c>
      <c r="EK5" s="10">
        <f t="shared" ref="EK5:EK23" si="35">(EI5/ED5)*EC5</f>
        <v>1</v>
      </c>
      <c r="EN5" s="10" t="str">
        <f t="shared" ref="EN5:EN23" si="36">Quebrado(0,EJ5,EI5)</f>
        <v>2/6</v>
      </c>
      <c r="EO5" s="10" t="str">
        <f t="shared" ref="EO5:EO23" si="37">Quebrado(0,EK5,EI5)</f>
        <v>1/6</v>
      </c>
      <c r="ES5" s="10">
        <v>2</v>
      </c>
      <c r="ET5" s="10">
        <v>7</v>
      </c>
      <c r="EU5" s="10">
        <v>12</v>
      </c>
      <c r="EV5" s="10">
        <v>11</v>
      </c>
      <c r="EW5" s="10">
        <v>15</v>
      </c>
      <c r="FB5" s="10">
        <f t="shared" ref="FB5:FB19" si="38">LCM(FA5,LCM(EY5,LCM(EW5,EU5)))</f>
        <v>60</v>
      </c>
      <c r="FC5" s="10">
        <f t="shared" ref="FC5:FC19" si="39">(FB5/EU5)*ET5</f>
        <v>35</v>
      </c>
      <c r="FD5" s="10">
        <f t="shared" ref="FD5:FD19" si="40">(FB5/EW5)*EV5</f>
        <v>44</v>
      </c>
      <c r="FG5" s="10" t="str">
        <f t="shared" ref="FG5:FG19" si="41">Quebrado(0,FC5,FB5)</f>
        <v>35/60</v>
      </c>
      <c r="FH5" s="10" t="str">
        <f t="shared" ref="FH5:FH19" si="42">Quebrado(0,FD5,FB5)</f>
        <v>44/60</v>
      </c>
    </row>
    <row r="6" spans="1:166" ht="18">
      <c r="A6" s="10">
        <v>3</v>
      </c>
      <c r="B6" s="10">
        <v>1</v>
      </c>
      <c r="C6" s="10">
        <v>1</v>
      </c>
      <c r="D6" s="10">
        <v>8</v>
      </c>
      <c r="E6" s="82">
        <f t="shared" si="1"/>
        <v>1.125</v>
      </c>
      <c r="F6" s="36" t="str">
        <f t="shared" si="2"/>
        <v>9/8</v>
      </c>
      <c r="H6" s="10">
        <v>3</v>
      </c>
      <c r="I6" s="10">
        <v>16</v>
      </c>
      <c r="J6" s="10">
        <v>7</v>
      </c>
      <c r="K6" s="10">
        <v>8</v>
      </c>
      <c r="L6" s="20">
        <f t="shared" si="3"/>
        <v>16.875</v>
      </c>
      <c r="M6" s="36" t="str">
        <f t="shared" si="4"/>
        <v>135/8</v>
      </c>
      <c r="O6" s="10">
        <v>3</v>
      </c>
      <c r="P6" s="10">
        <v>32</v>
      </c>
      <c r="Q6" s="10">
        <v>8</v>
      </c>
      <c r="R6" s="37" t="str">
        <f t="shared" si="5"/>
        <v>32/8</v>
      </c>
      <c r="S6" s="18">
        <f t="shared" si="6"/>
        <v>4</v>
      </c>
      <c r="U6" s="10">
        <v>3</v>
      </c>
      <c r="V6" s="15">
        <v>195</v>
      </c>
      <c r="W6" s="15">
        <v>63</v>
      </c>
      <c r="X6" s="37" t="str">
        <f t="shared" si="7"/>
        <v>195/63</v>
      </c>
      <c r="Y6" s="18">
        <f t="shared" si="8"/>
        <v>3</v>
      </c>
      <c r="AA6" s="10">
        <v>3</v>
      </c>
      <c r="AB6" s="15">
        <v>4</v>
      </c>
      <c r="AC6" s="15">
        <v>3</v>
      </c>
      <c r="AD6" s="37" t="str">
        <f t="shared" si="9"/>
        <v>12/3</v>
      </c>
      <c r="AF6" s="10">
        <v>3</v>
      </c>
      <c r="AG6" s="15">
        <v>4</v>
      </c>
      <c r="AH6" s="15">
        <v>4</v>
      </c>
      <c r="AI6" s="37" t="str">
        <f t="shared" si="10"/>
        <v>16/4</v>
      </c>
      <c r="AK6" s="10">
        <v>3</v>
      </c>
      <c r="AL6" s="15">
        <v>104</v>
      </c>
      <c r="AM6" s="15">
        <v>19</v>
      </c>
      <c r="AN6" s="37" t="str">
        <f t="shared" si="11"/>
        <v>1976/19</v>
      </c>
      <c r="AP6" s="10">
        <v>3</v>
      </c>
      <c r="AQ6" s="15">
        <v>1</v>
      </c>
      <c r="AR6" s="15">
        <v>4</v>
      </c>
      <c r="AS6" s="15">
        <v>12</v>
      </c>
      <c r="AT6" s="37" t="str">
        <f t="shared" si="12"/>
        <v>1/4</v>
      </c>
      <c r="AU6" s="37" t="str">
        <f t="shared" si="13"/>
        <v>3/12</v>
      </c>
      <c r="AW6" s="10">
        <v>3</v>
      </c>
      <c r="AX6" s="15">
        <v>6</v>
      </c>
      <c r="AY6" s="15">
        <v>7</v>
      </c>
      <c r="AZ6" s="15">
        <v>63</v>
      </c>
      <c r="BA6" s="37" t="str">
        <f t="shared" si="14"/>
        <v>6/7</v>
      </c>
      <c r="BB6" s="37" t="str">
        <f t="shared" si="15"/>
        <v>54/63</v>
      </c>
      <c r="BD6" s="10">
        <v>3</v>
      </c>
      <c r="BE6" s="15">
        <v>13</v>
      </c>
      <c r="BF6" s="15">
        <v>72</v>
      </c>
      <c r="BG6" s="15">
        <v>576</v>
      </c>
      <c r="BH6" s="37" t="str">
        <f t="shared" si="16"/>
        <v>13/72</v>
      </c>
      <c r="BI6" s="37" t="str">
        <f t="shared" si="17"/>
        <v>104/576</v>
      </c>
      <c r="BK6" s="10">
        <v>3</v>
      </c>
      <c r="BL6" s="15">
        <v>4</v>
      </c>
      <c r="BM6" s="15">
        <v>8</v>
      </c>
      <c r="BN6" s="15">
        <v>2</v>
      </c>
      <c r="BO6" s="37" t="str">
        <f t="shared" si="18"/>
        <v>4/8</v>
      </c>
      <c r="BP6" s="37" t="str">
        <f t="shared" si="19"/>
        <v>1/2</v>
      </c>
      <c r="BR6" s="10">
        <v>3</v>
      </c>
      <c r="BS6" s="15">
        <v>8</v>
      </c>
      <c r="BT6" s="15">
        <v>20</v>
      </c>
      <c r="BU6" s="15">
        <v>5</v>
      </c>
      <c r="BV6" s="37" t="str">
        <f t="shared" si="20"/>
        <v>8/20</v>
      </c>
      <c r="BW6" s="37" t="str">
        <f t="shared" si="21"/>
        <v>2/5</v>
      </c>
      <c r="BY6" s="10">
        <v>3</v>
      </c>
      <c r="BZ6" s="15">
        <v>480</v>
      </c>
      <c r="CA6" s="15">
        <v>824</v>
      </c>
      <c r="CB6" s="15">
        <v>103</v>
      </c>
      <c r="CC6" s="37" t="str">
        <f t="shared" si="22"/>
        <v>480/824</v>
      </c>
      <c r="CD6" s="37" t="str">
        <f t="shared" si="23"/>
        <v>60/103</v>
      </c>
      <c r="CF6" s="10">
        <v>3</v>
      </c>
      <c r="CG6" s="15">
        <v>54</v>
      </c>
      <c r="CH6" s="15">
        <v>96</v>
      </c>
      <c r="CI6" s="15" t="str">
        <f t="shared" si="24"/>
        <v>3*3*3*2*1</v>
      </c>
      <c r="CJ6" s="15" t="str">
        <f t="shared" si="25"/>
        <v>3*2*2*2*2*2*1</v>
      </c>
      <c r="CK6" s="51" t="s">
        <v>144</v>
      </c>
      <c r="CL6" s="51" t="s">
        <v>145</v>
      </c>
      <c r="CM6" s="15">
        <f>3^2</f>
        <v>9</v>
      </c>
      <c r="CN6" s="15">
        <f>2^4</f>
        <v>16</v>
      </c>
      <c r="CO6" s="36" t="str">
        <f t="shared" si="26"/>
        <v>9/16</v>
      </c>
      <c r="CQ6" s="10">
        <v>3</v>
      </c>
      <c r="CR6" s="15">
        <v>332</v>
      </c>
      <c r="CS6" s="15">
        <v>415</v>
      </c>
      <c r="CT6" s="15">
        <f t="shared" si="27"/>
        <v>83</v>
      </c>
      <c r="CU6" s="15">
        <f t="shared" si="28"/>
        <v>4</v>
      </c>
      <c r="CV6" s="15">
        <f t="shared" si="29"/>
        <v>5</v>
      </c>
      <c r="CW6" s="36" t="str">
        <f t="shared" si="30"/>
        <v>4/5</v>
      </c>
      <c r="CY6" s="10">
        <v>3</v>
      </c>
      <c r="CZ6" s="10">
        <v>9</v>
      </c>
      <c r="DA6" s="10">
        <v>8</v>
      </c>
      <c r="DE6" s="10">
        <v>18</v>
      </c>
      <c r="DF6" s="10">
        <v>6</v>
      </c>
      <c r="DJ6" s="36" t="str">
        <f t="shared" si="31"/>
        <v>3*3*1</v>
      </c>
      <c r="DK6" s="36" t="str">
        <f t="shared" si="0"/>
        <v>2*2*2*1</v>
      </c>
      <c r="DL6" s="36"/>
      <c r="DM6" s="36"/>
      <c r="DN6" s="36"/>
      <c r="DO6" s="36" t="str">
        <f t="shared" si="0"/>
        <v>3*3*2*1</v>
      </c>
      <c r="DP6" s="36" t="str">
        <f t="shared" si="0"/>
        <v>3*2*1</v>
      </c>
      <c r="DQ6" s="36"/>
      <c r="DR6" s="36"/>
      <c r="DS6" s="36"/>
      <c r="DT6" s="51">
        <v>2</v>
      </c>
      <c r="DU6" s="51">
        <v>3</v>
      </c>
      <c r="DV6" s="36">
        <v>2</v>
      </c>
      <c r="DW6" s="36">
        <v>3</v>
      </c>
      <c r="DX6" s="20">
        <f t="shared" si="32"/>
        <v>0.66666666666666663</v>
      </c>
      <c r="DZ6" s="10">
        <v>3</v>
      </c>
      <c r="EA6" s="10">
        <v>2</v>
      </c>
      <c r="EB6" s="10">
        <v>5</v>
      </c>
      <c r="EC6" s="10">
        <v>1</v>
      </c>
      <c r="ED6" s="10">
        <v>15</v>
      </c>
      <c r="EI6" s="10">
        <f t="shared" si="33"/>
        <v>15</v>
      </c>
      <c r="EJ6" s="10">
        <f t="shared" si="34"/>
        <v>6</v>
      </c>
      <c r="EK6" s="10">
        <f t="shared" si="35"/>
        <v>1</v>
      </c>
      <c r="EN6" s="10" t="str">
        <f t="shared" si="36"/>
        <v>6/15</v>
      </c>
      <c r="EO6" s="10" t="str">
        <f t="shared" si="37"/>
        <v>1/15</v>
      </c>
      <c r="ES6" s="10">
        <v>3</v>
      </c>
      <c r="ET6" s="10">
        <v>1</v>
      </c>
      <c r="EU6" s="10">
        <v>6</v>
      </c>
      <c r="EV6" s="10">
        <v>2</v>
      </c>
      <c r="EW6" s="10">
        <v>9</v>
      </c>
      <c r="EX6" s="10">
        <v>3</v>
      </c>
      <c r="EY6" s="10">
        <v>8</v>
      </c>
      <c r="FB6" s="10">
        <f t="shared" si="38"/>
        <v>72</v>
      </c>
      <c r="FC6" s="10">
        <f t="shared" si="39"/>
        <v>12</v>
      </c>
      <c r="FD6" s="10">
        <f t="shared" si="40"/>
        <v>16</v>
      </c>
      <c r="FE6" s="10">
        <f t="shared" ref="FE6:FE19" si="43">(FB6/EY6)*EX6</f>
        <v>27</v>
      </c>
      <c r="FG6" s="10" t="str">
        <f t="shared" si="41"/>
        <v>12/72</v>
      </c>
      <c r="FH6" s="10" t="str">
        <f t="shared" si="42"/>
        <v>16/72</v>
      </c>
      <c r="FI6" s="10" t="str">
        <f>Quebrado(0,FE6,FB6)</f>
        <v>27/72</v>
      </c>
    </row>
    <row r="7" spans="1:166" ht="17">
      <c r="A7" s="10">
        <v>4</v>
      </c>
      <c r="B7" s="10">
        <v>2</v>
      </c>
      <c r="C7" s="10">
        <v>1</v>
      </c>
      <c r="D7" s="10">
        <v>2</v>
      </c>
      <c r="E7" s="82">
        <f t="shared" si="1"/>
        <v>2.5</v>
      </c>
      <c r="F7" s="36" t="str">
        <f t="shared" si="2"/>
        <v>5/2</v>
      </c>
      <c r="H7" s="10">
        <v>4</v>
      </c>
      <c r="I7" s="10">
        <v>19</v>
      </c>
      <c r="J7" s="10">
        <v>3</v>
      </c>
      <c r="K7" s="10">
        <v>11</v>
      </c>
      <c r="L7" s="20">
        <f t="shared" si="3"/>
        <v>19.272727272727273</v>
      </c>
      <c r="M7" s="36" t="str">
        <f t="shared" si="4"/>
        <v>212/11</v>
      </c>
      <c r="O7" s="10">
        <v>4</v>
      </c>
      <c r="P7" s="10">
        <v>81</v>
      </c>
      <c r="Q7" s="10">
        <v>9</v>
      </c>
      <c r="R7" s="37" t="str">
        <f t="shared" si="5"/>
        <v>81/9</v>
      </c>
      <c r="S7" s="18">
        <f t="shared" si="6"/>
        <v>9</v>
      </c>
      <c r="U7" s="10">
        <v>4</v>
      </c>
      <c r="V7" s="15">
        <v>215</v>
      </c>
      <c r="W7" s="15">
        <v>73</v>
      </c>
      <c r="X7" s="37" t="str">
        <f t="shared" si="7"/>
        <v>215/73</v>
      </c>
      <c r="Y7" s="18">
        <f t="shared" si="8"/>
        <v>2</v>
      </c>
      <c r="AA7" s="10">
        <v>4</v>
      </c>
      <c r="AB7" s="15">
        <v>5</v>
      </c>
      <c r="AC7" s="15">
        <v>1</v>
      </c>
      <c r="AD7" s="37" t="str">
        <f t="shared" si="9"/>
        <v>5/1</v>
      </c>
      <c r="AF7" s="10">
        <v>4</v>
      </c>
      <c r="AG7" s="15">
        <v>5</v>
      </c>
      <c r="AH7" s="15">
        <v>3</v>
      </c>
      <c r="AI7" s="37" t="str">
        <f t="shared" si="10"/>
        <v>15/3</v>
      </c>
      <c r="AK7" s="10">
        <v>4</v>
      </c>
      <c r="AL7" s="15">
        <v>186</v>
      </c>
      <c r="AM7" s="15">
        <v>22</v>
      </c>
      <c r="AN7" s="37" t="str">
        <f t="shared" si="11"/>
        <v>4092/22</v>
      </c>
      <c r="AP7" s="10">
        <v>4</v>
      </c>
      <c r="AQ7" s="15">
        <v>1</v>
      </c>
      <c r="AR7" s="15">
        <v>5</v>
      </c>
      <c r="AS7" s="15">
        <v>20</v>
      </c>
      <c r="AT7" s="37" t="str">
        <f t="shared" si="12"/>
        <v>1/5</v>
      </c>
      <c r="AU7" s="37" t="str">
        <f t="shared" si="13"/>
        <v>4/20</v>
      </c>
      <c r="AW7" s="10">
        <v>4</v>
      </c>
      <c r="AX7" s="15">
        <v>7</v>
      </c>
      <c r="AY7" s="15">
        <v>8</v>
      </c>
      <c r="AZ7" s="15">
        <v>96</v>
      </c>
      <c r="BA7" s="37" t="str">
        <f t="shared" si="14"/>
        <v>7/8</v>
      </c>
      <c r="BB7" s="37" t="str">
        <f t="shared" si="15"/>
        <v>84/96</v>
      </c>
      <c r="BD7" s="10">
        <v>4</v>
      </c>
      <c r="BE7" s="15">
        <v>7</v>
      </c>
      <c r="BF7" s="15">
        <v>81</v>
      </c>
      <c r="BG7" s="15">
        <v>729</v>
      </c>
      <c r="BH7" s="37" t="str">
        <f t="shared" si="16"/>
        <v>7/81</v>
      </c>
      <c r="BI7" s="37" t="str">
        <f t="shared" si="17"/>
        <v>63/729</v>
      </c>
      <c r="BK7" s="10">
        <v>4</v>
      </c>
      <c r="BL7" s="15">
        <v>6</v>
      </c>
      <c r="BM7" s="15">
        <v>10</v>
      </c>
      <c r="BN7" s="15">
        <v>5</v>
      </c>
      <c r="BO7" s="37" t="str">
        <f t="shared" si="18"/>
        <v>6/10</v>
      </c>
      <c r="BP7" s="37" t="str">
        <f t="shared" si="19"/>
        <v>3/5</v>
      </c>
      <c r="BR7" s="10">
        <v>4</v>
      </c>
      <c r="BS7" s="15">
        <v>20</v>
      </c>
      <c r="BT7" s="15">
        <v>24</v>
      </c>
      <c r="BU7" s="15">
        <v>6</v>
      </c>
      <c r="BV7" s="37" t="str">
        <f t="shared" si="20"/>
        <v>20/24</v>
      </c>
      <c r="BW7" s="37" t="str">
        <f t="shared" si="21"/>
        <v>5/6</v>
      </c>
      <c r="BY7" s="10">
        <v>4</v>
      </c>
      <c r="BZ7" s="15">
        <v>343</v>
      </c>
      <c r="CA7" s="15">
        <v>924</v>
      </c>
      <c r="CB7" s="15">
        <v>132</v>
      </c>
      <c r="CC7" s="37" t="str">
        <f t="shared" si="22"/>
        <v>343/924</v>
      </c>
      <c r="CD7" s="37" t="str">
        <f t="shared" si="23"/>
        <v>49/132</v>
      </c>
      <c r="CF7" s="10">
        <v>4</v>
      </c>
      <c r="CG7" s="15">
        <v>72</v>
      </c>
      <c r="CH7" s="15">
        <v>144</v>
      </c>
      <c r="CI7" s="15" t="str">
        <f t="shared" si="24"/>
        <v>3*3*2*2*2*1</v>
      </c>
      <c r="CJ7" s="15" t="str">
        <f t="shared" si="25"/>
        <v>3*3*2*2*2*2*1</v>
      </c>
      <c r="CK7" s="51">
        <v>1</v>
      </c>
      <c r="CL7" s="51">
        <v>2</v>
      </c>
      <c r="CM7" s="15">
        <v>1</v>
      </c>
      <c r="CN7" s="15">
        <v>2</v>
      </c>
      <c r="CO7" s="36" t="str">
        <f t="shared" si="26"/>
        <v>1/2</v>
      </c>
      <c r="CQ7" s="10">
        <v>4</v>
      </c>
      <c r="CR7" s="15">
        <v>285</v>
      </c>
      <c r="CS7" s="15">
        <v>513</v>
      </c>
      <c r="CT7" s="15">
        <f t="shared" si="27"/>
        <v>57</v>
      </c>
      <c r="CU7" s="15">
        <f t="shared" si="28"/>
        <v>5</v>
      </c>
      <c r="CV7" s="15">
        <f t="shared" si="29"/>
        <v>9</v>
      </c>
      <c r="CW7" s="36" t="str">
        <f t="shared" si="30"/>
        <v>5/9</v>
      </c>
      <c r="CY7" s="10">
        <v>4</v>
      </c>
      <c r="CZ7" s="10">
        <v>2</v>
      </c>
      <c r="DA7" s="10">
        <v>6</v>
      </c>
      <c r="DE7" s="10">
        <v>14</v>
      </c>
      <c r="DF7" s="10">
        <v>8</v>
      </c>
      <c r="DJ7" s="36" t="str">
        <f t="shared" si="31"/>
        <v>2*1</v>
      </c>
      <c r="DK7" s="36" t="str">
        <f t="shared" si="0"/>
        <v>3*2*1</v>
      </c>
      <c r="DL7" s="36"/>
      <c r="DM7" s="36"/>
      <c r="DN7" s="36"/>
      <c r="DO7" s="36" t="str">
        <f t="shared" si="0"/>
        <v>7*2*1</v>
      </c>
      <c r="DP7" s="36" t="str">
        <f t="shared" si="0"/>
        <v>2*2*2*1</v>
      </c>
      <c r="DQ7" s="36"/>
      <c r="DR7" s="36"/>
      <c r="DS7" s="36"/>
      <c r="DT7" s="51">
        <v>3</v>
      </c>
      <c r="DU7" s="51" t="s">
        <v>171</v>
      </c>
      <c r="DV7" s="36">
        <v>3</v>
      </c>
      <c r="DW7" s="36">
        <f>7*2^2</f>
        <v>28</v>
      </c>
      <c r="DX7" s="20">
        <f t="shared" si="32"/>
        <v>0.10714285714285714</v>
      </c>
      <c r="DZ7" s="10">
        <v>4</v>
      </c>
      <c r="EA7" s="10">
        <v>1</v>
      </c>
      <c r="EB7" s="10">
        <v>7</v>
      </c>
      <c r="EC7" s="10">
        <v>4</v>
      </c>
      <c r="ED7" s="10">
        <v>21</v>
      </c>
      <c r="EI7" s="10">
        <f t="shared" si="33"/>
        <v>21</v>
      </c>
      <c r="EJ7" s="10">
        <f t="shared" si="34"/>
        <v>3</v>
      </c>
      <c r="EK7" s="10">
        <f t="shared" si="35"/>
        <v>4</v>
      </c>
      <c r="EN7" s="10" t="str">
        <f t="shared" si="36"/>
        <v>3/21</v>
      </c>
      <c r="EO7" s="10" t="str">
        <f t="shared" si="37"/>
        <v>4/21</v>
      </c>
      <c r="ES7" s="10">
        <v>4</v>
      </c>
      <c r="ET7" s="10">
        <v>1</v>
      </c>
      <c r="EU7" s="10">
        <v>10</v>
      </c>
      <c r="EV7" s="10">
        <v>3</v>
      </c>
      <c r="EW7" s="10">
        <v>15</v>
      </c>
      <c r="EX7" s="10">
        <v>8</v>
      </c>
      <c r="EY7" s="10">
        <v>25</v>
      </c>
      <c r="FB7" s="10">
        <f t="shared" si="38"/>
        <v>150</v>
      </c>
      <c r="FC7" s="10">
        <f t="shared" si="39"/>
        <v>15</v>
      </c>
      <c r="FD7" s="10">
        <f t="shared" si="40"/>
        <v>30</v>
      </c>
      <c r="FE7" s="10">
        <f t="shared" si="43"/>
        <v>48</v>
      </c>
      <c r="FG7" s="10" t="str">
        <f t="shared" si="41"/>
        <v>15/150</v>
      </c>
      <c r="FH7" s="10" t="str">
        <f t="shared" si="42"/>
        <v>30/150</v>
      </c>
      <c r="FI7" s="10" t="str">
        <f>Quebrado(0,FE7,FB7)</f>
        <v>48/150</v>
      </c>
    </row>
    <row r="8" spans="1:166" ht="17">
      <c r="A8" s="10">
        <v>5</v>
      </c>
      <c r="B8" s="10">
        <v>3</v>
      </c>
      <c r="C8" s="10">
        <v>1</v>
      </c>
      <c r="D8" s="10">
        <v>4</v>
      </c>
      <c r="E8" s="82">
        <f>B8+C8/D8</f>
        <v>3.25</v>
      </c>
      <c r="F8" s="36" t="str">
        <f t="shared" si="2"/>
        <v>13/4</v>
      </c>
      <c r="H8" s="10">
        <v>5</v>
      </c>
      <c r="I8" s="10">
        <v>20</v>
      </c>
      <c r="J8" s="10">
        <v>3</v>
      </c>
      <c r="K8" s="10">
        <v>19</v>
      </c>
      <c r="L8" s="20">
        <f t="shared" si="3"/>
        <v>20.157894736842106</v>
      </c>
      <c r="M8" s="36" t="str">
        <f t="shared" si="4"/>
        <v>383/19</v>
      </c>
      <c r="O8" s="10">
        <v>5</v>
      </c>
      <c r="P8" s="10">
        <v>108</v>
      </c>
      <c r="Q8" s="10">
        <v>12</v>
      </c>
      <c r="R8" s="37" t="str">
        <f t="shared" si="5"/>
        <v>108/12</v>
      </c>
      <c r="S8" s="18">
        <f t="shared" si="6"/>
        <v>9</v>
      </c>
      <c r="U8" s="10">
        <v>5</v>
      </c>
      <c r="V8" s="15">
        <v>318</v>
      </c>
      <c r="W8" s="15">
        <v>90</v>
      </c>
      <c r="X8" s="37" t="str">
        <f t="shared" si="7"/>
        <v>318/90</v>
      </c>
      <c r="Y8" s="18">
        <f t="shared" si="8"/>
        <v>3</v>
      </c>
      <c r="AA8" s="10">
        <v>5</v>
      </c>
      <c r="AB8" s="15">
        <v>5</v>
      </c>
      <c r="AC8" s="15">
        <v>8</v>
      </c>
      <c r="AD8" s="37" t="str">
        <f t="shared" si="9"/>
        <v>40/8</v>
      </c>
      <c r="AF8" s="10">
        <v>5</v>
      </c>
      <c r="AG8" s="15">
        <v>9</v>
      </c>
      <c r="AH8" s="15">
        <v>9</v>
      </c>
      <c r="AI8" s="37" t="str">
        <f t="shared" si="10"/>
        <v>81/9</v>
      </c>
      <c r="AK8" s="10">
        <v>5</v>
      </c>
      <c r="AL8" s="15">
        <v>201</v>
      </c>
      <c r="AM8" s="15">
        <v>41</v>
      </c>
      <c r="AN8" s="37" t="str">
        <f t="shared" si="11"/>
        <v>8241/41</v>
      </c>
      <c r="AP8" s="10">
        <v>5</v>
      </c>
      <c r="AQ8" s="15">
        <v>2</v>
      </c>
      <c r="AR8" s="15">
        <v>3</v>
      </c>
      <c r="AS8" s="15">
        <v>12</v>
      </c>
      <c r="AT8" s="37" t="str">
        <f t="shared" si="12"/>
        <v>2/3</v>
      </c>
      <c r="AU8" s="37" t="str">
        <f t="shared" si="13"/>
        <v>8/12</v>
      </c>
      <c r="AW8" s="10">
        <v>5</v>
      </c>
      <c r="AX8" s="15">
        <v>5</v>
      </c>
      <c r="AY8" s="15">
        <v>11</v>
      </c>
      <c r="AZ8" s="15">
        <v>121</v>
      </c>
      <c r="BA8" s="37" t="str">
        <f t="shared" si="14"/>
        <v>5/11</v>
      </c>
      <c r="BB8" s="37" t="str">
        <f t="shared" si="15"/>
        <v>55/121</v>
      </c>
      <c r="BD8" s="10">
        <v>5</v>
      </c>
      <c r="BE8" s="15">
        <v>11</v>
      </c>
      <c r="BF8" s="15">
        <v>91</v>
      </c>
      <c r="BG8" s="15">
        <v>637</v>
      </c>
      <c r="BH8" s="37" t="str">
        <f t="shared" si="16"/>
        <v>11/91</v>
      </c>
      <c r="BI8" s="37" t="str">
        <f t="shared" si="17"/>
        <v>77/637</v>
      </c>
      <c r="BK8" s="10">
        <v>5</v>
      </c>
      <c r="BL8" s="15">
        <v>9</v>
      </c>
      <c r="BM8" s="15">
        <v>24</v>
      </c>
      <c r="BN8" s="15">
        <v>8</v>
      </c>
      <c r="BO8" s="37" t="str">
        <f t="shared" si="18"/>
        <v>9/24</v>
      </c>
      <c r="BP8" s="37" t="str">
        <f t="shared" si="19"/>
        <v>3/8</v>
      </c>
      <c r="BR8" s="10">
        <v>5</v>
      </c>
      <c r="BS8" s="15">
        <v>25</v>
      </c>
      <c r="BT8" s="15">
        <v>35</v>
      </c>
      <c r="BU8" s="15">
        <v>7</v>
      </c>
      <c r="BV8" s="37" t="str">
        <f t="shared" si="20"/>
        <v>25/35</v>
      </c>
      <c r="BW8" s="37" t="str">
        <f t="shared" si="21"/>
        <v>5/7</v>
      </c>
      <c r="BY8" s="10">
        <v>5</v>
      </c>
      <c r="BZ8" s="15">
        <v>365</v>
      </c>
      <c r="CA8" s="15">
        <v>990</v>
      </c>
      <c r="CB8" s="15">
        <v>198</v>
      </c>
      <c r="CC8" s="37" t="str">
        <f t="shared" si="22"/>
        <v>365/990</v>
      </c>
      <c r="CD8" s="37" t="str">
        <f t="shared" si="23"/>
        <v>73/198</v>
      </c>
      <c r="CF8" s="10">
        <v>5</v>
      </c>
      <c r="CG8" s="15">
        <v>84</v>
      </c>
      <c r="CH8" s="15">
        <v>126</v>
      </c>
      <c r="CI8" s="15" t="str">
        <f t="shared" si="24"/>
        <v>7*3*2*2*1</v>
      </c>
      <c r="CJ8" s="15" t="str">
        <f t="shared" si="25"/>
        <v>7*3*3*2*1</v>
      </c>
      <c r="CK8" s="51">
        <v>2</v>
      </c>
      <c r="CL8" s="51">
        <v>3</v>
      </c>
      <c r="CM8" s="15">
        <v>2</v>
      </c>
      <c r="CN8" s="15">
        <v>3</v>
      </c>
      <c r="CO8" s="36" t="str">
        <f t="shared" si="26"/>
        <v>2/3</v>
      </c>
      <c r="CQ8" s="10">
        <v>5</v>
      </c>
      <c r="CR8" s="15">
        <v>252</v>
      </c>
      <c r="CS8" s="15">
        <v>441</v>
      </c>
      <c r="CT8" s="15">
        <f t="shared" si="27"/>
        <v>63</v>
      </c>
      <c r="CU8" s="15">
        <f t="shared" si="28"/>
        <v>4</v>
      </c>
      <c r="CV8" s="15">
        <f t="shared" si="29"/>
        <v>7</v>
      </c>
      <c r="CW8" s="36" t="str">
        <f t="shared" si="30"/>
        <v>4/7</v>
      </c>
      <c r="CY8" s="10">
        <v>5</v>
      </c>
      <c r="CZ8" s="10">
        <v>3</v>
      </c>
      <c r="DA8" s="10">
        <v>2</v>
      </c>
      <c r="DB8" s="10">
        <v>5</v>
      </c>
      <c r="DE8" s="10">
        <v>6</v>
      </c>
      <c r="DF8" s="10">
        <v>4</v>
      </c>
      <c r="DG8" s="10">
        <v>10</v>
      </c>
      <c r="DJ8" s="36" t="str">
        <f t="shared" si="31"/>
        <v>3*1</v>
      </c>
      <c r="DK8" s="36" t="str">
        <f t="shared" si="0"/>
        <v>2*1</v>
      </c>
      <c r="DL8" s="36" t="str">
        <f t="shared" si="0"/>
        <v>5*1</v>
      </c>
      <c r="DM8" s="36"/>
      <c r="DN8" s="36"/>
      <c r="DO8" s="36" t="str">
        <f t="shared" si="0"/>
        <v>3*2*1</v>
      </c>
      <c r="DP8" s="36" t="str">
        <f t="shared" si="0"/>
        <v>2*2*1</v>
      </c>
      <c r="DQ8" s="36" t="str">
        <f t="shared" si="0"/>
        <v>5*2*1</v>
      </c>
      <c r="DR8" s="36"/>
      <c r="DS8" s="36"/>
      <c r="DT8" s="51">
        <v>1</v>
      </c>
      <c r="DU8" s="51" t="s">
        <v>177</v>
      </c>
      <c r="DV8" s="36">
        <v>1</v>
      </c>
      <c r="DW8" s="36">
        <f>2^3</f>
        <v>8</v>
      </c>
      <c r="DX8" s="20">
        <f t="shared" si="32"/>
        <v>0.125</v>
      </c>
      <c r="DZ8" s="10">
        <v>5</v>
      </c>
      <c r="EA8" s="10">
        <v>1</v>
      </c>
      <c r="EB8" s="10">
        <v>3</v>
      </c>
      <c r="EC8" s="10">
        <v>2</v>
      </c>
      <c r="ED8" s="10">
        <v>9</v>
      </c>
      <c r="EI8" s="10">
        <f t="shared" si="33"/>
        <v>9</v>
      </c>
      <c r="EJ8" s="10">
        <f t="shared" si="34"/>
        <v>3</v>
      </c>
      <c r="EK8" s="10">
        <f t="shared" si="35"/>
        <v>2</v>
      </c>
      <c r="EN8" s="10" t="str">
        <f t="shared" si="36"/>
        <v>3/9</v>
      </c>
      <c r="EO8" s="10" t="str">
        <f t="shared" si="37"/>
        <v>2/9</v>
      </c>
      <c r="ES8" s="10">
        <v>5</v>
      </c>
      <c r="ET8" s="10">
        <v>1</v>
      </c>
      <c r="EU8" s="10">
        <v>10</v>
      </c>
      <c r="EV8" s="10">
        <v>3</v>
      </c>
      <c r="EW8" s="10">
        <v>27</v>
      </c>
      <c r="EX8" s="10">
        <v>7</v>
      </c>
      <c r="EY8" s="10">
        <v>30</v>
      </c>
      <c r="FB8" s="10">
        <f t="shared" si="38"/>
        <v>270</v>
      </c>
      <c r="FC8" s="10">
        <f t="shared" si="39"/>
        <v>27</v>
      </c>
      <c r="FD8" s="10">
        <f t="shared" si="40"/>
        <v>30</v>
      </c>
      <c r="FE8" s="10">
        <f t="shared" si="43"/>
        <v>63</v>
      </c>
      <c r="FG8" s="10" t="str">
        <f t="shared" si="41"/>
        <v>27/270</v>
      </c>
      <c r="FH8" s="10" t="str">
        <f t="shared" si="42"/>
        <v>30/270</v>
      </c>
      <c r="FI8" s="10" t="str">
        <f>Quebrado(0,FE8,FB8)</f>
        <v>63/270</v>
      </c>
    </row>
    <row r="9" spans="1:166">
      <c r="A9" s="10">
        <v>6</v>
      </c>
      <c r="B9" s="10">
        <v>4</v>
      </c>
      <c r="C9" s="10">
        <v>1</v>
      </c>
      <c r="D9" s="10">
        <v>5</v>
      </c>
      <c r="E9" s="82">
        <f t="shared" si="1"/>
        <v>4.2</v>
      </c>
      <c r="F9" s="36" t="str">
        <f t="shared" si="2"/>
        <v>21/5</v>
      </c>
      <c r="H9" s="10">
        <v>6</v>
      </c>
      <c r="I9" s="10">
        <v>17</v>
      </c>
      <c r="J9" s="10">
        <v>5</v>
      </c>
      <c r="K9" s="10">
        <v>18</v>
      </c>
      <c r="L9" s="20">
        <f t="shared" si="3"/>
        <v>17.277777777777779</v>
      </c>
      <c r="M9" s="36" t="str">
        <f t="shared" si="4"/>
        <v>311/18</v>
      </c>
      <c r="O9" s="10">
        <v>6</v>
      </c>
      <c r="P9" s="10">
        <v>125</v>
      </c>
      <c r="Q9" s="10">
        <v>25</v>
      </c>
      <c r="R9" s="37" t="str">
        <f t="shared" si="5"/>
        <v>125/25</v>
      </c>
      <c r="S9" s="18">
        <f t="shared" si="6"/>
        <v>5</v>
      </c>
      <c r="U9" s="10">
        <v>6</v>
      </c>
      <c r="V9" s="15">
        <v>354</v>
      </c>
      <c r="W9" s="15">
        <v>61</v>
      </c>
      <c r="X9" s="37" t="str">
        <f t="shared" si="7"/>
        <v>354/61</v>
      </c>
      <c r="Y9" s="18">
        <f t="shared" si="8"/>
        <v>5</v>
      </c>
      <c r="AA9" s="10">
        <v>6</v>
      </c>
      <c r="AB9" s="15">
        <v>6</v>
      </c>
      <c r="AC9" s="15">
        <v>4</v>
      </c>
      <c r="AD9" s="37" t="str">
        <f t="shared" si="9"/>
        <v>24/4</v>
      </c>
      <c r="AF9" s="10">
        <v>6</v>
      </c>
      <c r="AG9" s="15">
        <v>15</v>
      </c>
      <c r="AH9" s="15">
        <v>11</v>
      </c>
      <c r="AI9" s="37" t="str">
        <f t="shared" si="10"/>
        <v>165/11</v>
      </c>
      <c r="AK9" s="10">
        <v>6</v>
      </c>
      <c r="AL9" s="15">
        <v>255</v>
      </c>
      <c r="AM9" s="15">
        <v>39</v>
      </c>
      <c r="AN9" s="37" t="str">
        <f t="shared" si="11"/>
        <v>9945/39</v>
      </c>
      <c r="AP9" s="10">
        <v>6</v>
      </c>
      <c r="AQ9" s="15">
        <v>3</v>
      </c>
      <c r="AR9" s="15">
        <v>4</v>
      </c>
      <c r="AS9" s="15">
        <v>20</v>
      </c>
      <c r="AT9" s="37" t="str">
        <f t="shared" si="12"/>
        <v>3/4</v>
      </c>
      <c r="AU9" s="37" t="str">
        <f t="shared" si="13"/>
        <v>15/20</v>
      </c>
      <c r="AW9" s="10">
        <v>6</v>
      </c>
      <c r="AX9" s="15">
        <v>4</v>
      </c>
      <c r="AY9" s="15">
        <v>13</v>
      </c>
      <c r="AZ9" s="15">
        <v>130</v>
      </c>
      <c r="BA9" s="37" t="str">
        <f t="shared" si="14"/>
        <v>4/13</v>
      </c>
      <c r="BB9" s="37" t="str">
        <f t="shared" si="15"/>
        <v>40/130</v>
      </c>
      <c r="BD9" s="10">
        <v>6</v>
      </c>
      <c r="BE9" s="15">
        <v>7</v>
      </c>
      <c r="BF9" s="15">
        <v>94</v>
      </c>
      <c r="BG9" s="15">
        <v>752</v>
      </c>
      <c r="BH9" s="37" t="str">
        <f t="shared" si="16"/>
        <v>7/94</v>
      </c>
      <c r="BI9" s="37" t="str">
        <f t="shared" si="17"/>
        <v>56/752</v>
      </c>
      <c r="BK9" s="10">
        <v>6</v>
      </c>
      <c r="BL9" s="15">
        <v>10</v>
      </c>
      <c r="BM9" s="15">
        <v>18</v>
      </c>
      <c r="BN9" s="15">
        <v>9</v>
      </c>
      <c r="BO9" s="37" t="str">
        <f t="shared" si="18"/>
        <v>10/18</v>
      </c>
      <c r="BP9" s="37" t="str">
        <f t="shared" si="19"/>
        <v>5/9</v>
      </c>
      <c r="BR9" s="10">
        <v>6</v>
      </c>
      <c r="BS9" s="15">
        <v>54</v>
      </c>
      <c r="BT9" s="15">
        <v>27</v>
      </c>
      <c r="BU9" s="15">
        <v>9</v>
      </c>
      <c r="BV9" s="37" t="str">
        <f t="shared" si="20"/>
        <v>54/27</v>
      </c>
      <c r="BW9" s="37" t="str">
        <f t="shared" si="21"/>
        <v>18/9</v>
      </c>
      <c r="BY9" s="10">
        <v>6</v>
      </c>
      <c r="BZ9" s="15">
        <v>516</v>
      </c>
      <c r="CA9" s="15">
        <v>816</v>
      </c>
      <c r="CB9" s="15">
        <v>204</v>
      </c>
      <c r="CC9" s="37" t="str">
        <f t="shared" si="22"/>
        <v>516/816</v>
      </c>
      <c r="CD9" s="37" t="str">
        <f t="shared" si="23"/>
        <v>129/204</v>
      </c>
      <c r="CF9" s="10">
        <v>6</v>
      </c>
      <c r="CG9" s="15">
        <v>99</v>
      </c>
      <c r="CH9" s="15">
        <v>165</v>
      </c>
      <c r="CI9" s="15" t="str">
        <f t="shared" si="24"/>
        <v>11*3*3*1</v>
      </c>
      <c r="CJ9" s="15" t="str">
        <f t="shared" si="25"/>
        <v>11*5*3*1</v>
      </c>
      <c r="CK9" s="51">
        <v>3</v>
      </c>
      <c r="CL9" s="51">
        <v>5</v>
      </c>
      <c r="CM9" s="15">
        <v>3</v>
      </c>
      <c r="CN9" s="15">
        <v>5</v>
      </c>
      <c r="CO9" s="36" t="str">
        <f t="shared" si="26"/>
        <v>3/5</v>
      </c>
      <c r="CQ9" s="10">
        <v>6</v>
      </c>
      <c r="CR9" s="15">
        <v>623</v>
      </c>
      <c r="CS9" s="15">
        <v>979</v>
      </c>
      <c r="CT9" s="15">
        <f t="shared" si="27"/>
        <v>89</v>
      </c>
      <c r="CU9" s="15">
        <f t="shared" si="28"/>
        <v>7</v>
      </c>
      <c r="CV9" s="15">
        <f t="shared" si="29"/>
        <v>11</v>
      </c>
      <c r="CW9" s="36" t="str">
        <f t="shared" si="30"/>
        <v>7/11</v>
      </c>
      <c r="CY9" s="10">
        <v>6</v>
      </c>
      <c r="CZ9" s="10">
        <v>5</v>
      </c>
      <c r="DA9" s="10">
        <v>20</v>
      </c>
      <c r="DB9" s="10">
        <v>18</v>
      </c>
      <c r="DE9" s="10">
        <v>3</v>
      </c>
      <c r="DF9" s="10">
        <v>6</v>
      </c>
      <c r="DG9" s="10">
        <v>10</v>
      </c>
      <c r="DJ9" s="36" t="str">
        <f t="shared" si="31"/>
        <v>5*1</v>
      </c>
      <c r="DK9" s="36" t="str">
        <f t="shared" si="0"/>
        <v>5*2*2*1</v>
      </c>
      <c r="DL9" s="36" t="str">
        <f t="shared" si="0"/>
        <v>3*3*2*1</v>
      </c>
      <c r="DM9" s="36"/>
      <c r="DN9" s="36"/>
      <c r="DO9" s="36" t="str">
        <f t="shared" si="0"/>
        <v>3*1</v>
      </c>
      <c r="DP9" s="36" t="str">
        <f t="shared" si="0"/>
        <v>3*2*1</v>
      </c>
      <c r="DQ9" s="36" t="str">
        <f t="shared" si="0"/>
        <v>5*2*1</v>
      </c>
      <c r="DR9" s="36"/>
      <c r="DS9" s="36"/>
      <c r="DT9" s="51" t="s">
        <v>138</v>
      </c>
      <c r="DU9" s="51">
        <v>1</v>
      </c>
      <c r="DV9" s="36">
        <f>5*2</f>
        <v>10</v>
      </c>
      <c r="DW9" s="36">
        <v>1</v>
      </c>
      <c r="DX9" s="20">
        <f t="shared" si="32"/>
        <v>10</v>
      </c>
      <c r="DZ9" s="10">
        <v>6</v>
      </c>
      <c r="EA9" s="10">
        <v>1</v>
      </c>
      <c r="EB9" s="10">
        <v>5</v>
      </c>
      <c r="EC9" s="10">
        <v>1</v>
      </c>
      <c r="ED9" s="10">
        <v>10</v>
      </c>
      <c r="EE9" s="10">
        <v>3</v>
      </c>
      <c r="EF9" s="10">
        <v>20</v>
      </c>
      <c r="EI9" s="10">
        <f t="shared" si="33"/>
        <v>20</v>
      </c>
      <c r="EJ9" s="10">
        <f t="shared" si="34"/>
        <v>4</v>
      </c>
      <c r="EK9" s="10">
        <f t="shared" si="35"/>
        <v>2</v>
      </c>
      <c r="EL9" s="10">
        <f t="shared" ref="EL9:EL18" si="44">(EI9/EF9)*EE9</f>
        <v>3</v>
      </c>
      <c r="EN9" s="10" t="str">
        <f t="shared" si="36"/>
        <v>4/20</v>
      </c>
      <c r="EO9" s="10" t="str">
        <f t="shared" si="37"/>
        <v>2/20</v>
      </c>
      <c r="EP9" s="10" t="str">
        <f t="shared" ref="EP9:EP18" si="45">Quebrado(0,EL9,EI9)</f>
        <v>3/20</v>
      </c>
      <c r="ES9" s="10">
        <v>6</v>
      </c>
      <c r="ET9" s="10">
        <v>5</v>
      </c>
      <c r="EU9" s="10">
        <v>6</v>
      </c>
      <c r="EV9" s="10">
        <v>7</v>
      </c>
      <c r="EW9" s="10">
        <v>20</v>
      </c>
      <c r="EX9" s="10">
        <v>11</v>
      </c>
      <c r="EY9" s="10">
        <v>25</v>
      </c>
      <c r="FB9" s="10">
        <f t="shared" si="38"/>
        <v>300</v>
      </c>
      <c r="FC9" s="10">
        <f t="shared" si="39"/>
        <v>250</v>
      </c>
      <c r="FD9" s="10">
        <f t="shared" si="40"/>
        <v>105</v>
      </c>
      <c r="FE9" s="10">
        <f t="shared" si="43"/>
        <v>132</v>
      </c>
      <c r="FG9" s="10" t="str">
        <f t="shared" si="41"/>
        <v>250/300</v>
      </c>
      <c r="FH9" s="10" t="str">
        <f t="shared" si="42"/>
        <v>105/300</v>
      </c>
      <c r="FI9" s="10" t="str">
        <f t="shared" ref="FI9:FI19" si="46">Quebrado(0,FE9,FB9)</f>
        <v>132/300</v>
      </c>
    </row>
    <row r="10" spans="1:166" ht="17">
      <c r="A10" s="10">
        <v>7</v>
      </c>
      <c r="B10" s="10">
        <v>6</v>
      </c>
      <c r="C10" s="10">
        <v>2</v>
      </c>
      <c r="D10" s="10">
        <v>5</v>
      </c>
      <c r="E10" s="82">
        <f t="shared" si="1"/>
        <v>6.4</v>
      </c>
      <c r="F10" s="36" t="str">
        <f t="shared" si="2"/>
        <v>32/5</v>
      </c>
      <c r="H10" s="10">
        <v>7</v>
      </c>
      <c r="I10" s="10">
        <v>23</v>
      </c>
      <c r="J10" s="10">
        <v>4</v>
      </c>
      <c r="K10" s="10">
        <v>23</v>
      </c>
      <c r="L10" s="20">
        <f t="shared" si="3"/>
        <v>23.173913043478262</v>
      </c>
      <c r="M10" s="36" t="str">
        <f t="shared" si="4"/>
        <v>533/23</v>
      </c>
      <c r="O10" s="10">
        <v>7</v>
      </c>
      <c r="P10" s="10">
        <v>7</v>
      </c>
      <c r="Q10" s="10">
        <v>2</v>
      </c>
      <c r="R10" s="37" t="str">
        <f t="shared" si="5"/>
        <v>7/2</v>
      </c>
      <c r="S10" s="18">
        <f t="shared" si="6"/>
        <v>3</v>
      </c>
      <c r="U10" s="10">
        <v>7</v>
      </c>
      <c r="V10" s="15">
        <v>401</v>
      </c>
      <c r="W10" s="15">
        <v>83</v>
      </c>
      <c r="X10" s="37" t="str">
        <f t="shared" si="7"/>
        <v>401/83</v>
      </c>
      <c r="Y10" s="18">
        <f t="shared" si="8"/>
        <v>4</v>
      </c>
      <c r="AA10" s="10">
        <v>7</v>
      </c>
      <c r="AB10" s="15">
        <v>7</v>
      </c>
      <c r="AC10" s="15">
        <v>2</v>
      </c>
      <c r="AD10" s="37" t="str">
        <f t="shared" si="9"/>
        <v>14/2</v>
      </c>
      <c r="AF10" s="10">
        <v>7</v>
      </c>
      <c r="AG10" s="15">
        <v>26</v>
      </c>
      <c r="AH10" s="15">
        <v>13</v>
      </c>
      <c r="AI10" s="37" t="str">
        <f t="shared" si="10"/>
        <v>338/13</v>
      </c>
      <c r="AK10" s="10">
        <v>7</v>
      </c>
      <c r="AL10" s="15">
        <v>301</v>
      </c>
      <c r="AM10" s="15">
        <v>27</v>
      </c>
      <c r="AN10" s="37" t="str">
        <f t="shared" si="11"/>
        <v>8127/27</v>
      </c>
      <c r="AP10" s="10">
        <v>7</v>
      </c>
      <c r="AQ10" s="15">
        <v>3</v>
      </c>
      <c r="AR10" s="15">
        <v>5</v>
      </c>
      <c r="AS10" s="15">
        <v>25</v>
      </c>
      <c r="AT10" s="37" t="str">
        <f t="shared" si="12"/>
        <v>3/5</v>
      </c>
      <c r="AU10" s="37" t="str">
        <f t="shared" si="13"/>
        <v>15/25</v>
      </c>
      <c r="AW10" s="10">
        <v>7</v>
      </c>
      <c r="AX10" s="15">
        <v>8</v>
      </c>
      <c r="AY10" s="15">
        <v>17</v>
      </c>
      <c r="AZ10" s="15">
        <v>102</v>
      </c>
      <c r="BA10" s="37" t="str">
        <f t="shared" si="14"/>
        <v>8/17</v>
      </c>
      <c r="BB10" s="37" t="str">
        <f t="shared" si="15"/>
        <v>48/102</v>
      </c>
      <c r="BD10" s="10">
        <v>7</v>
      </c>
      <c r="BE10" s="15">
        <v>13</v>
      </c>
      <c r="BF10" s="15">
        <v>98</v>
      </c>
      <c r="BG10" s="15">
        <v>882</v>
      </c>
      <c r="BH10" s="37" t="str">
        <f t="shared" si="16"/>
        <v>13/98</v>
      </c>
      <c r="BI10" s="37" t="str">
        <f t="shared" si="17"/>
        <v>117/882</v>
      </c>
      <c r="BK10" s="10">
        <v>7</v>
      </c>
      <c r="BL10" s="15">
        <v>15</v>
      </c>
      <c r="BM10" s="15">
        <v>20</v>
      </c>
      <c r="BN10" s="15">
        <v>4</v>
      </c>
      <c r="BO10" s="37" t="str">
        <f t="shared" si="18"/>
        <v>15/20</v>
      </c>
      <c r="BP10" s="37" t="str">
        <f t="shared" si="19"/>
        <v>3/4</v>
      </c>
      <c r="BR10" s="10">
        <v>7</v>
      </c>
      <c r="BS10" s="15">
        <v>27</v>
      </c>
      <c r="BT10" s="15">
        <v>36</v>
      </c>
      <c r="BU10" s="15">
        <v>4</v>
      </c>
      <c r="BV10" s="37" t="str">
        <f t="shared" si="20"/>
        <v>27/36</v>
      </c>
      <c r="BW10" s="37" t="str">
        <f t="shared" si="21"/>
        <v>3/4</v>
      </c>
      <c r="BY10" s="10">
        <v>7</v>
      </c>
      <c r="BZ10" s="15">
        <v>915</v>
      </c>
      <c r="CA10" s="15">
        <v>1430</v>
      </c>
      <c r="CB10" s="15">
        <v>286</v>
      </c>
      <c r="CC10" s="37" t="str">
        <f t="shared" si="22"/>
        <v>915/1430</v>
      </c>
      <c r="CD10" s="37" t="str">
        <f t="shared" si="23"/>
        <v>183/286</v>
      </c>
      <c r="CF10" s="10">
        <v>7</v>
      </c>
      <c r="CG10" s="15">
        <v>162</v>
      </c>
      <c r="CH10" s="15">
        <v>189</v>
      </c>
      <c r="CI10" s="15" t="str">
        <f t="shared" si="24"/>
        <v>3*3*3*3*2*1</v>
      </c>
      <c r="CJ10" s="15" t="str">
        <f t="shared" si="25"/>
        <v>7*3*3*3*1</v>
      </c>
      <c r="CK10" s="51" t="s">
        <v>132</v>
      </c>
      <c r="CL10" s="51">
        <v>7</v>
      </c>
      <c r="CM10" s="15">
        <f>3*2</f>
        <v>6</v>
      </c>
      <c r="CN10" s="15">
        <v>7</v>
      </c>
      <c r="CO10" s="36" t="str">
        <f t="shared" si="26"/>
        <v>6/7</v>
      </c>
      <c r="CQ10" s="10">
        <v>7</v>
      </c>
      <c r="CR10" s="15">
        <v>370</v>
      </c>
      <c r="CS10" s="15">
        <v>444</v>
      </c>
      <c r="CT10" s="15">
        <f t="shared" si="27"/>
        <v>74</v>
      </c>
      <c r="CU10" s="15">
        <f t="shared" si="28"/>
        <v>5</v>
      </c>
      <c r="CV10" s="15">
        <f t="shared" si="29"/>
        <v>6</v>
      </c>
      <c r="CW10" s="36" t="str">
        <f t="shared" si="30"/>
        <v>5/6</v>
      </c>
      <c r="CY10" s="10">
        <v>7</v>
      </c>
      <c r="CZ10" s="10">
        <v>49</v>
      </c>
      <c r="DA10" s="10">
        <v>56</v>
      </c>
      <c r="DB10" s="10">
        <v>32</v>
      </c>
      <c r="DE10" s="10">
        <v>14</v>
      </c>
      <c r="DF10" s="10">
        <v>143</v>
      </c>
      <c r="DG10" s="10">
        <v>84</v>
      </c>
      <c r="DJ10" s="36" t="str">
        <f t="shared" si="31"/>
        <v>7*7*1</v>
      </c>
      <c r="DK10" s="36" t="str">
        <f t="shared" si="0"/>
        <v>7*2*2*2*1</v>
      </c>
      <c r="DL10" s="36" t="str">
        <f t="shared" si="0"/>
        <v>2*2*2*2*2*1</v>
      </c>
      <c r="DM10" s="36"/>
      <c r="DN10" s="36"/>
      <c r="DO10" s="36" t="str">
        <f t="shared" si="0"/>
        <v>7*2*1</v>
      </c>
      <c r="DP10" s="36" t="str">
        <f t="shared" si="0"/>
        <v>13*11*1</v>
      </c>
      <c r="DQ10" s="36" t="str">
        <f t="shared" si="0"/>
        <v>7*3*2*2*1</v>
      </c>
      <c r="DR10" s="36"/>
      <c r="DS10" s="36"/>
      <c r="DT10" s="51" t="s">
        <v>172</v>
      </c>
      <c r="DU10" s="51" t="s">
        <v>169</v>
      </c>
      <c r="DV10" s="36">
        <f>7*2^5</f>
        <v>224</v>
      </c>
      <c r="DW10" s="36">
        <f>13*11*3</f>
        <v>429</v>
      </c>
      <c r="DX10" s="20">
        <f t="shared" si="32"/>
        <v>0.52214452214452212</v>
      </c>
      <c r="DZ10" s="10">
        <v>7</v>
      </c>
      <c r="EA10" s="10">
        <v>2</v>
      </c>
      <c r="EB10" s="10">
        <v>3</v>
      </c>
      <c r="EC10" s="10">
        <v>1</v>
      </c>
      <c r="ED10" s="10">
        <v>6</v>
      </c>
      <c r="EE10" s="10">
        <v>1</v>
      </c>
      <c r="EF10" s="10">
        <v>12</v>
      </c>
      <c r="EI10" s="10">
        <f t="shared" si="33"/>
        <v>12</v>
      </c>
      <c r="EJ10" s="10">
        <f t="shared" si="34"/>
        <v>8</v>
      </c>
      <c r="EK10" s="10">
        <f t="shared" si="35"/>
        <v>2</v>
      </c>
      <c r="EL10" s="10">
        <f t="shared" si="44"/>
        <v>1</v>
      </c>
      <c r="EN10" s="10" t="str">
        <f t="shared" si="36"/>
        <v>8/12</v>
      </c>
      <c r="EO10" s="10" t="str">
        <f t="shared" si="37"/>
        <v>2/12</v>
      </c>
      <c r="EP10" s="10" t="str">
        <f t="shared" si="45"/>
        <v>1/12</v>
      </c>
      <c r="ES10" s="10">
        <v>7</v>
      </c>
      <c r="ET10" s="10">
        <v>7</v>
      </c>
      <c r="EU10" s="10">
        <v>15</v>
      </c>
      <c r="EV10" s="10">
        <v>2</v>
      </c>
      <c r="EW10" s="10">
        <v>45</v>
      </c>
      <c r="EX10" s="10">
        <v>11</v>
      </c>
      <c r="EY10" s="10">
        <v>60</v>
      </c>
      <c r="FB10" s="10">
        <f t="shared" si="38"/>
        <v>180</v>
      </c>
      <c r="FC10" s="10">
        <f t="shared" si="39"/>
        <v>84</v>
      </c>
      <c r="FD10" s="10">
        <f t="shared" si="40"/>
        <v>8</v>
      </c>
      <c r="FE10" s="10">
        <f t="shared" si="43"/>
        <v>33</v>
      </c>
      <c r="FG10" s="10" t="str">
        <f t="shared" si="41"/>
        <v>84/180</v>
      </c>
      <c r="FH10" s="10" t="str">
        <f t="shared" si="42"/>
        <v>8/180</v>
      </c>
      <c r="FI10" s="10" t="str">
        <f t="shared" si="46"/>
        <v>33/180</v>
      </c>
    </row>
    <row r="11" spans="1:166" ht="18">
      <c r="A11" s="10">
        <v>8</v>
      </c>
      <c r="B11" s="10">
        <v>7</v>
      </c>
      <c r="C11" s="10">
        <v>3</v>
      </c>
      <c r="D11" s="10">
        <v>4</v>
      </c>
      <c r="E11" s="82">
        <f t="shared" si="1"/>
        <v>7.75</v>
      </c>
      <c r="F11" s="36" t="str">
        <f t="shared" si="2"/>
        <v>31/4</v>
      </c>
      <c r="H11" s="10">
        <v>8</v>
      </c>
      <c r="I11" s="10">
        <v>31</v>
      </c>
      <c r="J11" s="10">
        <v>5</v>
      </c>
      <c r="K11" s="10">
        <v>31</v>
      </c>
      <c r="L11" s="20">
        <f t="shared" si="3"/>
        <v>31.161290322580644</v>
      </c>
      <c r="M11" s="36" t="str">
        <f t="shared" si="4"/>
        <v>966/31</v>
      </c>
      <c r="O11" s="10">
        <v>8</v>
      </c>
      <c r="P11" s="10">
        <v>5</v>
      </c>
      <c r="Q11" s="10">
        <v>2</v>
      </c>
      <c r="R11" s="37" t="str">
        <f t="shared" si="5"/>
        <v>5/2</v>
      </c>
      <c r="S11" s="18">
        <f t="shared" si="6"/>
        <v>2</v>
      </c>
      <c r="U11" s="10">
        <v>8</v>
      </c>
      <c r="V11" s="15">
        <v>563</v>
      </c>
      <c r="W11" s="15">
        <v>54</v>
      </c>
      <c r="X11" s="37" t="str">
        <f t="shared" si="7"/>
        <v>563/54</v>
      </c>
      <c r="Y11" s="18">
        <f t="shared" si="8"/>
        <v>10</v>
      </c>
      <c r="AA11" s="10">
        <v>8</v>
      </c>
      <c r="AB11" s="15">
        <v>8</v>
      </c>
      <c r="AC11" s="15">
        <v>5</v>
      </c>
      <c r="AD11" s="37" t="str">
        <f t="shared" si="9"/>
        <v>40/5</v>
      </c>
      <c r="AF11" s="10">
        <v>8</v>
      </c>
      <c r="AG11" s="15">
        <v>31</v>
      </c>
      <c r="AH11" s="15">
        <v>22</v>
      </c>
      <c r="AI11" s="37" t="str">
        <f t="shared" si="10"/>
        <v>682/22</v>
      </c>
      <c r="AK11" s="10">
        <v>8</v>
      </c>
      <c r="AL11" s="15">
        <v>405</v>
      </c>
      <c r="AM11" s="15">
        <v>28</v>
      </c>
      <c r="AN11" s="37" t="str">
        <f t="shared" si="11"/>
        <v>11340/28</v>
      </c>
      <c r="AP11" s="10">
        <v>8</v>
      </c>
      <c r="AQ11" s="15">
        <v>1</v>
      </c>
      <c r="AR11" s="15">
        <v>6</v>
      </c>
      <c r="AS11" s="15">
        <v>18</v>
      </c>
      <c r="AT11" s="37" t="str">
        <f t="shared" si="12"/>
        <v>1/6</v>
      </c>
      <c r="AU11" s="37" t="str">
        <f t="shared" si="13"/>
        <v>3/18</v>
      </c>
      <c r="AW11" s="10">
        <v>8</v>
      </c>
      <c r="AX11" s="15">
        <v>12</v>
      </c>
      <c r="AY11" s="15">
        <v>19</v>
      </c>
      <c r="AZ11" s="15">
        <v>133</v>
      </c>
      <c r="BA11" s="37" t="str">
        <f t="shared" si="14"/>
        <v>12/19</v>
      </c>
      <c r="BB11" s="37" t="str">
        <f t="shared" si="15"/>
        <v>84/133</v>
      </c>
      <c r="BD11" s="10">
        <v>8</v>
      </c>
      <c r="BE11" s="15">
        <v>7</v>
      </c>
      <c r="BF11" s="15">
        <v>102</v>
      </c>
      <c r="BG11" s="15">
        <v>816</v>
      </c>
      <c r="BH11" s="37" t="str">
        <f t="shared" si="16"/>
        <v>7/102</v>
      </c>
      <c r="BI11" s="37" t="str">
        <f t="shared" si="17"/>
        <v>56/816</v>
      </c>
      <c r="BK11" s="10">
        <v>8</v>
      </c>
      <c r="BL11" s="15">
        <v>16</v>
      </c>
      <c r="BM11" s="15">
        <v>20</v>
      </c>
      <c r="BN11" s="15">
        <v>5</v>
      </c>
      <c r="BO11" s="37" t="str">
        <f t="shared" si="18"/>
        <v>16/20</v>
      </c>
      <c r="BP11" s="37" t="str">
        <f t="shared" si="19"/>
        <v>4/5</v>
      </c>
      <c r="BR11" s="10">
        <v>8</v>
      </c>
      <c r="BS11" s="15">
        <v>50</v>
      </c>
      <c r="BT11" s="15">
        <v>55</v>
      </c>
      <c r="BU11" s="15">
        <v>11</v>
      </c>
      <c r="BV11" s="37" t="str">
        <f t="shared" si="20"/>
        <v>50/55</v>
      </c>
      <c r="BW11" s="37" t="str">
        <f t="shared" si="21"/>
        <v>10/11</v>
      </c>
      <c r="BY11" s="10">
        <v>8</v>
      </c>
      <c r="BZ11" s="15">
        <v>912</v>
      </c>
      <c r="CA11" s="15">
        <v>1204</v>
      </c>
      <c r="CB11" s="15">
        <v>301</v>
      </c>
      <c r="CC11" s="37" t="str">
        <f t="shared" si="22"/>
        <v>912/1204</v>
      </c>
      <c r="CD11" s="37" t="str">
        <f t="shared" si="23"/>
        <v>228/301</v>
      </c>
      <c r="CF11" s="10">
        <v>8</v>
      </c>
      <c r="CG11" s="15">
        <v>114</v>
      </c>
      <c r="CH11" s="15">
        <v>288</v>
      </c>
      <c r="CI11" s="15" t="str">
        <f t="shared" si="24"/>
        <v>19*3*2*1</v>
      </c>
      <c r="CJ11" s="15" t="str">
        <f t="shared" si="25"/>
        <v>3*3*2*2*2*2*2*1</v>
      </c>
      <c r="CK11" s="51">
        <v>19</v>
      </c>
      <c r="CL11" s="51" t="s">
        <v>133</v>
      </c>
      <c r="CM11" s="15">
        <v>19</v>
      </c>
      <c r="CN11" s="15">
        <f>3*2^4</f>
        <v>48</v>
      </c>
      <c r="CO11" s="36" t="str">
        <f t="shared" si="26"/>
        <v>19/48</v>
      </c>
      <c r="CQ11" s="10">
        <v>8</v>
      </c>
      <c r="CR11" s="15">
        <v>2002</v>
      </c>
      <c r="CS11" s="15">
        <v>5005</v>
      </c>
      <c r="CT11" s="15">
        <f t="shared" si="27"/>
        <v>1001</v>
      </c>
      <c r="CU11" s="15">
        <f t="shared" si="28"/>
        <v>2</v>
      </c>
      <c r="CV11" s="15">
        <f t="shared" si="29"/>
        <v>5</v>
      </c>
      <c r="CW11" s="36" t="str">
        <f t="shared" si="30"/>
        <v>2/5</v>
      </c>
      <c r="CY11" s="10">
        <v>8</v>
      </c>
      <c r="CZ11" s="10">
        <v>8</v>
      </c>
      <c r="DA11" s="10">
        <v>9</v>
      </c>
      <c r="DB11" s="10">
        <v>49</v>
      </c>
      <c r="DC11" s="10">
        <v>33</v>
      </c>
      <c r="DE11" s="10">
        <v>21</v>
      </c>
      <c r="DF11" s="10">
        <v>28</v>
      </c>
      <c r="DG11" s="10">
        <v>11</v>
      </c>
      <c r="DH11" s="10">
        <v>6</v>
      </c>
      <c r="DJ11" s="36" t="str">
        <f t="shared" si="31"/>
        <v>2*2*2*1</v>
      </c>
      <c r="DK11" s="36" t="str">
        <f t="shared" si="0"/>
        <v>3*3*1</v>
      </c>
      <c r="DL11" s="36" t="str">
        <f t="shared" si="0"/>
        <v>7*7*1</v>
      </c>
      <c r="DM11" s="36" t="str">
        <f t="shared" si="0"/>
        <v>11*3*1</v>
      </c>
      <c r="DN11" s="36"/>
      <c r="DO11" s="36" t="str">
        <f t="shared" si="0"/>
        <v>7*3*1</v>
      </c>
      <c r="DP11" s="36" t="str">
        <f t="shared" si="0"/>
        <v>7*2*2*1</v>
      </c>
      <c r="DQ11" s="36" t="str">
        <f t="shared" si="0"/>
        <v>11*1</v>
      </c>
      <c r="DR11" s="36" t="str">
        <f t="shared" si="0"/>
        <v>3*2*1</v>
      </c>
      <c r="DS11" s="36"/>
      <c r="DT11" s="51">
        <v>3</v>
      </c>
      <c r="DU11" s="51">
        <v>1</v>
      </c>
      <c r="DV11" s="36">
        <v>3</v>
      </c>
      <c r="DW11" s="36">
        <v>1</v>
      </c>
      <c r="DX11" s="20">
        <f t="shared" si="32"/>
        <v>3</v>
      </c>
      <c r="DZ11" s="10">
        <v>8</v>
      </c>
      <c r="EA11" s="10">
        <v>1</v>
      </c>
      <c r="EB11" s="10">
        <v>4</v>
      </c>
      <c r="EC11" s="10">
        <v>1</v>
      </c>
      <c r="ED11" s="10">
        <v>8</v>
      </c>
      <c r="EE11" s="10">
        <v>1</v>
      </c>
      <c r="EF11" s="10">
        <v>16</v>
      </c>
      <c r="EI11" s="10">
        <f t="shared" si="33"/>
        <v>16</v>
      </c>
      <c r="EJ11" s="10">
        <f t="shared" si="34"/>
        <v>4</v>
      </c>
      <c r="EK11" s="10">
        <f t="shared" si="35"/>
        <v>2</v>
      </c>
      <c r="EL11" s="10">
        <f t="shared" si="44"/>
        <v>1</v>
      </c>
      <c r="EN11" s="10" t="str">
        <f t="shared" si="36"/>
        <v>4/16</v>
      </c>
      <c r="EO11" s="10" t="str">
        <f t="shared" si="37"/>
        <v>2/16</v>
      </c>
      <c r="EP11" s="10" t="str">
        <f t="shared" si="45"/>
        <v>1/16</v>
      </c>
      <c r="ES11" s="10">
        <v>8</v>
      </c>
      <c r="ET11" s="10">
        <v>1</v>
      </c>
      <c r="EU11" s="10">
        <v>2</v>
      </c>
      <c r="EV11" s="10">
        <v>2</v>
      </c>
      <c r="EW11" s="10">
        <v>9</v>
      </c>
      <c r="EX11" s="10">
        <v>7</v>
      </c>
      <c r="EY11" s="10">
        <v>12</v>
      </c>
      <c r="EZ11" s="10">
        <v>11</v>
      </c>
      <c r="FA11" s="10">
        <v>24</v>
      </c>
      <c r="FB11" s="10">
        <f t="shared" si="38"/>
        <v>72</v>
      </c>
      <c r="FC11" s="10">
        <f t="shared" si="39"/>
        <v>36</v>
      </c>
      <c r="FD11" s="10">
        <f t="shared" si="40"/>
        <v>16</v>
      </c>
      <c r="FE11" s="10">
        <f t="shared" si="43"/>
        <v>42</v>
      </c>
      <c r="FF11" s="10">
        <f>(FB11/FA11)*EZ11</f>
        <v>33</v>
      </c>
      <c r="FG11" s="10" t="str">
        <f t="shared" si="41"/>
        <v>36/72</v>
      </c>
      <c r="FH11" s="10" t="str">
        <f t="shared" si="42"/>
        <v>16/72</v>
      </c>
      <c r="FI11" s="10" t="str">
        <f t="shared" si="46"/>
        <v>42/72</v>
      </c>
      <c r="FJ11" s="10" t="str">
        <f>Quebrado(0,FF11,FB11)</f>
        <v>33/72</v>
      </c>
    </row>
    <row r="12" spans="1:166" ht="17">
      <c r="A12" s="10">
        <v>9</v>
      </c>
      <c r="B12" s="10">
        <v>8</v>
      </c>
      <c r="C12" s="10">
        <v>1</v>
      </c>
      <c r="D12" s="10">
        <v>2</v>
      </c>
      <c r="E12" s="82">
        <f t="shared" si="1"/>
        <v>8.5</v>
      </c>
      <c r="F12" s="36" t="str">
        <f t="shared" si="2"/>
        <v>17/2</v>
      </c>
      <c r="H12" s="10">
        <v>9</v>
      </c>
      <c r="I12" s="10">
        <v>42</v>
      </c>
      <c r="J12" s="10">
        <v>7</v>
      </c>
      <c r="K12" s="10">
        <v>25</v>
      </c>
      <c r="L12" s="20">
        <f t="shared" si="3"/>
        <v>42.28</v>
      </c>
      <c r="M12" s="36" t="str">
        <f t="shared" si="4"/>
        <v>1057/25</v>
      </c>
      <c r="O12" s="10">
        <v>9</v>
      </c>
      <c r="P12" s="10">
        <v>8</v>
      </c>
      <c r="Q12" s="10">
        <v>5</v>
      </c>
      <c r="R12" s="37" t="str">
        <f t="shared" si="5"/>
        <v>8/5</v>
      </c>
      <c r="S12" s="18">
        <f t="shared" si="6"/>
        <v>1</v>
      </c>
      <c r="U12" s="10">
        <v>9</v>
      </c>
      <c r="V12" s="15">
        <v>601</v>
      </c>
      <c r="W12" s="15">
        <v>217</v>
      </c>
      <c r="X12" s="37" t="str">
        <f t="shared" si="7"/>
        <v>601/217</v>
      </c>
      <c r="Y12" s="18">
        <f t="shared" si="8"/>
        <v>2</v>
      </c>
      <c r="AA12" s="10">
        <v>9</v>
      </c>
      <c r="AB12" s="15">
        <v>9</v>
      </c>
      <c r="AC12" s="15">
        <v>6</v>
      </c>
      <c r="AD12" s="37" t="str">
        <f t="shared" si="9"/>
        <v>54/6</v>
      </c>
      <c r="AF12" s="10">
        <v>9</v>
      </c>
      <c r="AG12" s="15">
        <v>43</v>
      </c>
      <c r="AH12" s="15">
        <v>51</v>
      </c>
      <c r="AI12" s="37" t="str">
        <f t="shared" si="10"/>
        <v>2193/51</v>
      </c>
      <c r="AK12" s="10">
        <v>9</v>
      </c>
      <c r="AL12" s="15">
        <v>999</v>
      </c>
      <c r="AM12" s="15">
        <v>14</v>
      </c>
      <c r="AN12" s="37" t="str">
        <f t="shared" si="11"/>
        <v>13986/14</v>
      </c>
      <c r="AP12" s="10">
        <v>9</v>
      </c>
      <c r="AQ12" s="15">
        <v>2</v>
      </c>
      <c r="AR12" s="15">
        <v>7</v>
      </c>
      <c r="AS12" s="15">
        <v>21</v>
      </c>
      <c r="AT12" s="37" t="str">
        <f t="shared" si="12"/>
        <v>2/7</v>
      </c>
      <c r="AU12" s="37" t="str">
        <f t="shared" si="13"/>
        <v>6/21</v>
      </c>
      <c r="AW12" s="10">
        <v>9</v>
      </c>
      <c r="AX12" s="15">
        <v>8</v>
      </c>
      <c r="AY12" s="15">
        <v>21</v>
      </c>
      <c r="AZ12" s="15">
        <v>105</v>
      </c>
      <c r="BA12" s="37" t="str">
        <f t="shared" si="14"/>
        <v>8/21</v>
      </c>
      <c r="BB12" s="37" t="str">
        <f t="shared" si="15"/>
        <v>40/105</v>
      </c>
      <c r="BD12" s="10">
        <v>9</v>
      </c>
      <c r="BE12" s="15">
        <v>113</v>
      </c>
      <c r="BF12" s="15">
        <v>123</v>
      </c>
      <c r="BG12" s="15">
        <v>1107</v>
      </c>
      <c r="BH12" s="37" t="str">
        <f t="shared" si="16"/>
        <v>113/123</v>
      </c>
      <c r="BI12" s="37" t="str">
        <f t="shared" si="17"/>
        <v>1017/1107</v>
      </c>
      <c r="BK12" s="10">
        <v>9</v>
      </c>
      <c r="BL12" s="15">
        <v>8</v>
      </c>
      <c r="BM12" s="15">
        <v>22</v>
      </c>
      <c r="BN12" s="15">
        <v>11</v>
      </c>
      <c r="BO12" s="37" t="str">
        <f t="shared" si="18"/>
        <v>8/22</v>
      </c>
      <c r="BP12" s="37" t="str">
        <f t="shared" si="19"/>
        <v>4/11</v>
      </c>
      <c r="BR12" s="10">
        <v>9</v>
      </c>
      <c r="BS12" s="15">
        <v>60</v>
      </c>
      <c r="BT12" s="15">
        <v>90</v>
      </c>
      <c r="BU12" s="15">
        <v>18</v>
      </c>
      <c r="BV12" s="37" t="str">
        <f t="shared" si="20"/>
        <v>60/90</v>
      </c>
      <c r="BW12" s="37" t="str">
        <f t="shared" si="21"/>
        <v>12/18</v>
      </c>
      <c r="BY12" s="10">
        <v>9</v>
      </c>
      <c r="BZ12" s="15">
        <v>729</v>
      </c>
      <c r="CA12" s="15">
        <v>1395</v>
      </c>
      <c r="CB12" s="15">
        <v>465</v>
      </c>
      <c r="CC12" s="37" t="str">
        <f t="shared" si="22"/>
        <v>729/1395</v>
      </c>
      <c r="CD12" s="37" t="str">
        <f t="shared" si="23"/>
        <v>243/465</v>
      </c>
      <c r="CF12" s="10">
        <v>9</v>
      </c>
      <c r="CG12" s="15">
        <v>343</v>
      </c>
      <c r="CH12" s="15">
        <v>539</v>
      </c>
      <c r="CI12" s="15" t="str">
        <f t="shared" si="24"/>
        <v>7*7*7*1</v>
      </c>
      <c r="CJ12" s="15" t="str">
        <f t="shared" si="25"/>
        <v>11*7*7*1</v>
      </c>
      <c r="CK12" s="51">
        <v>7</v>
      </c>
      <c r="CL12" s="51">
        <v>11</v>
      </c>
      <c r="CM12" s="15">
        <v>7</v>
      </c>
      <c r="CN12" s="15">
        <v>11</v>
      </c>
      <c r="CO12" s="36" t="str">
        <f t="shared" si="26"/>
        <v>7/11</v>
      </c>
      <c r="CQ12" s="10">
        <v>9</v>
      </c>
      <c r="CR12" s="15">
        <v>3003</v>
      </c>
      <c r="CS12" s="15">
        <v>6006</v>
      </c>
      <c r="CT12" s="15">
        <f t="shared" si="27"/>
        <v>3003</v>
      </c>
      <c r="CU12" s="15">
        <f t="shared" si="28"/>
        <v>1</v>
      </c>
      <c r="CV12" s="15">
        <f t="shared" si="29"/>
        <v>2</v>
      </c>
      <c r="CW12" s="36" t="str">
        <f t="shared" si="30"/>
        <v>1/2</v>
      </c>
      <c r="CY12" s="10">
        <v>9</v>
      </c>
      <c r="CZ12" s="10">
        <v>17</v>
      </c>
      <c r="DA12" s="10">
        <v>28</v>
      </c>
      <c r="DB12" s="10">
        <v>204</v>
      </c>
      <c r="DC12" s="10">
        <v>3200</v>
      </c>
      <c r="DE12" s="10">
        <v>50</v>
      </c>
      <c r="DF12" s="10">
        <v>100</v>
      </c>
      <c r="DG12" s="10">
        <v>49</v>
      </c>
      <c r="DH12" s="10">
        <v>34</v>
      </c>
      <c r="DJ12" s="36" t="str">
        <f t="shared" si="31"/>
        <v>17*1</v>
      </c>
      <c r="DK12" s="36" t="str">
        <f t="shared" si="0"/>
        <v>7*2*2*1</v>
      </c>
      <c r="DL12" s="36" t="str">
        <f t="shared" si="0"/>
        <v>17*3*2*2*1</v>
      </c>
      <c r="DM12" s="36" t="str">
        <f t="shared" si="0"/>
        <v>5*5*2*2*2*2*2*2*2*1</v>
      </c>
      <c r="DN12" s="36"/>
      <c r="DO12" s="36" t="str">
        <f t="shared" si="0"/>
        <v>5*5*2*1</v>
      </c>
      <c r="DP12" s="36" t="str">
        <f t="shared" si="0"/>
        <v>5*5*2*2*1</v>
      </c>
      <c r="DQ12" s="36" t="str">
        <f t="shared" si="0"/>
        <v>7*7*1</v>
      </c>
      <c r="DR12" s="36" t="str">
        <f t="shared" si="0"/>
        <v>17*2*1</v>
      </c>
      <c r="DS12" s="36"/>
      <c r="DT12" s="51" t="s">
        <v>175</v>
      </c>
      <c r="DU12" s="51" t="s">
        <v>173</v>
      </c>
      <c r="DV12" s="36">
        <f>17*3*2^7</f>
        <v>6528</v>
      </c>
      <c r="DW12" s="36">
        <f>5^2*7</f>
        <v>175</v>
      </c>
      <c r="DX12" s="20">
        <f t="shared" si="32"/>
        <v>37.302857142857142</v>
      </c>
      <c r="DZ12" s="10">
        <v>9</v>
      </c>
      <c r="EA12" s="10">
        <v>1</v>
      </c>
      <c r="EB12" s="10">
        <v>6</v>
      </c>
      <c r="EC12" s="10">
        <v>1</v>
      </c>
      <c r="ED12" s="10">
        <v>12</v>
      </c>
      <c r="EE12" s="10">
        <v>1</v>
      </c>
      <c r="EF12" s="10">
        <v>24</v>
      </c>
      <c r="EI12" s="10">
        <f t="shared" si="33"/>
        <v>24</v>
      </c>
      <c r="EJ12" s="10">
        <f t="shared" si="34"/>
        <v>4</v>
      </c>
      <c r="EK12" s="10">
        <f t="shared" si="35"/>
        <v>2</v>
      </c>
      <c r="EL12" s="10">
        <f t="shared" si="44"/>
        <v>1</v>
      </c>
      <c r="EN12" s="10" t="str">
        <f t="shared" si="36"/>
        <v>4/24</v>
      </c>
      <c r="EO12" s="10" t="str">
        <f t="shared" si="37"/>
        <v>2/24</v>
      </c>
      <c r="EP12" s="10" t="str">
        <f t="shared" si="45"/>
        <v>1/24</v>
      </c>
      <c r="ES12" s="10">
        <v>9</v>
      </c>
      <c r="ET12" s="10">
        <v>1</v>
      </c>
      <c r="EU12" s="10">
        <v>6</v>
      </c>
      <c r="EV12" s="10">
        <v>7</v>
      </c>
      <c r="EW12" s="10">
        <v>15</v>
      </c>
      <c r="EX12" s="10">
        <v>1</v>
      </c>
      <c r="EY12" s="10">
        <v>20</v>
      </c>
      <c r="EZ12" s="10">
        <v>1</v>
      </c>
      <c r="FA12" s="10">
        <v>30</v>
      </c>
      <c r="FB12" s="10">
        <f t="shared" si="38"/>
        <v>60</v>
      </c>
      <c r="FC12" s="10">
        <f t="shared" si="39"/>
        <v>10</v>
      </c>
      <c r="FD12" s="10">
        <f t="shared" si="40"/>
        <v>28</v>
      </c>
      <c r="FE12" s="10">
        <f t="shared" si="43"/>
        <v>3</v>
      </c>
      <c r="FF12" s="10">
        <f>(FB12/FA12)*EZ12</f>
        <v>2</v>
      </c>
      <c r="FG12" s="10" t="str">
        <f t="shared" si="41"/>
        <v>10/60</v>
      </c>
      <c r="FH12" s="10" t="str">
        <f t="shared" si="42"/>
        <v>28/60</v>
      </c>
      <c r="FI12" s="10" t="str">
        <f t="shared" si="46"/>
        <v>3/60</v>
      </c>
      <c r="FJ12" s="10" t="str">
        <f>Quebrado(0,FF12,FB12)</f>
        <v>2/60</v>
      </c>
    </row>
    <row r="13" spans="1:166" ht="17">
      <c r="A13" s="10">
        <v>10</v>
      </c>
      <c r="B13" s="10">
        <v>8</v>
      </c>
      <c r="C13" s="10">
        <v>3</v>
      </c>
      <c r="D13" s="10">
        <v>7</v>
      </c>
      <c r="E13" s="82">
        <f t="shared" si="1"/>
        <v>8.4285714285714288</v>
      </c>
      <c r="F13" s="36" t="str">
        <f t="shared" si="2"/>
        <v>59/7</v>
      </c>
      <c r="H13" s="10">
        <v>10</v>
      </c>
      <c r="I13" s="10">
        <v>53</v>
      </c>
      <c r="J13" s="10">
        <v>9</v>
      </c>
      <c r="K13" s="10">
        <v>17</v>
      </c>
      <c r="L13" s="20">
        <f t="shared" si="3"/>
        <v>53.529411764705884</v>
      </c>
      <c r="M13" s="36" t="str">
        <f t="shared" si="4"/>
        <v>910/17</v>
      </c>
      <c r="O13" s="10">
        <v>10</v>
      </c>
      <c r="P13" s="10">
        <v>19</v>
      </c>
      <c r="Q13" s="10">
        <v>7</v>
      </c>
      <c r="R13" s="37" t="str">
        <f t="shared" si="5"/>
        <v>19/7</v>
      </c>
      <c r="S13" s="18">
        <f t="shared" si="6"/>
        <v>2</v>
      </c>
      <c r="U13" s="10">
        <v>10</v>
      </c>
      <c r="V13" s="15">
        <v>743</v>
      </c>
      <c r="W13" s="15">
        <v>165</v>
      </c>
      <c r="X13" s="37" t="str">
        <f t="shared" si="7"/>
        <v>743/165</v>
      </c>
      <c r="Y13" s="18">
        <f t="shared" si="8"/>
        <v>4</v>
      </c>
      <c r="AA13" s="10">
        <v>10</v>
      </c>
      <c r="AB13" s="15">
        <v>7</v>
      </c>
      <c r="AC13" s="15">
        <v>11</v>
      </c>
      <c r="AD13" s="37" t="str">
        <f t="shared" si="9"/>
        <v>77/11</v>
      </c>
      <c r="AF13" s="10">
        <v>10</v>
      </c>
      <c r="AG13" s="15">
        <v>61</v>
      </c>
      <c r="AH13" s="15">
        <v>84</v>
      </c>
      <c r="AI13" s="37" t="str">
        <f t="shared" si="10"/>
        <v>5124/84</v>
      </c>
      <c r="AK13" s="10">
        <v>10</v>
      </c>
      <c r="AL13" s="15">
        <v>1000</v>
      </c>
      <c r="AM13" s="15">
        <v>56</v>
      </c>
      <c r="AN13" s="37" t="str">
        <f t="shared" si="11"/>
        <v>56000/56</v>
      </c>
      <c r="AP13" s="10">
        <v>10</v>
      </c>
      <c r="AQ13" s="15">
        <v>1</v>
      </c>
      <c r="AR13" s="15">
        <v>8</v>
      </c>
      <c r="AS13" s="15">
        <v>24</v>
      </c>
      <c r="AT13" s="37" t="str">
        <f t="shared" si="12"/>
        <v>1/8</v>
      </c>
      <c r="AU13" s="37" t="str">
        <f t="shared" si="13"/>
        <v>3/24</v>
      </c>
      <c r="AW13" s="10">
        <v>10</v>
      </c>
      <c r="AX13" s="15">
        <v>9</v>
      </c>
      <c r="AY13" s="15">
        <v>22</v>
      </c>
      <c r="AZ13" s="15">
        <v>176</v>
      </c>
      <c r="BA13" s="37" t="str">
        <f t="shared" si="14"/>
        <v>9/22</v>
      </c>
      <c r="BB13" s="37" t="str">
        <f t="shared" si="15"/>
        <v>72/176</v>
      </c>
      <c r="BD13" s="10">
        <v>10</v>
      </c>
      <c r="BE13" s="15">
        <v>7</v>
      </c>
      <c r="BF13" s="15">
        <v>12</v>
      </c>
      <c r="BG13" s="15">
        <v>1296</v>
      </c>
      <c r="BH13" s="37" t="str">
        <f t="shared" si="16"/>
        <v>7/12</v>
      </c>
      <c r="BI13" s="37" t="str">
        <f t="shared" si="17"/>
        <v>756/1296</v>
      </c>
      <c r="BK13" s="10">
        <v>10</v>
      </c>
      <c r="BL13" s="15">
        <v>32</v>
      </c>
      <c r="BM13" s="15">
        <v>24</v>
      </c>
      <c r="BN13" s="15">
        <v>3</v>
      </c>
      <c r="BO13" s="37" t="str">
        <f t="shared" si="18"/>
        <v>32/24</v>
      </c>
      <c r="BP13" s="37" t="str">
        <f t="shared" si="19"/>
        <v>4/3</v>
      </c>
      <c r="BR13" s="10">
        <v>10</v>
      </c>
      <c r="BS13" s="15">
        <v>96</v>
      </c>
      <c r="BT13" s="15">
        <v>126</v>
      </c>
      <c r="BU13" s="15">
        <v>21</v>
      </c>
      <c r="BV13" s="37" t="str">
        <f t="shared" si="20"/>
        <v>96/126</v>
      </c>
      <c r="BW13" s="37" t="str">
        <f t="shared" si="21"/>
        <v>16/21</v>
      </c>
      <c r="BY13" s="10">
        <v>10</v>
      </c>
      <c r="BZ13" s="15">
        <v>654</v>
      </c>
      <c r="CA13" s="15">
        <v>3006</v>
      </c>
      <c r="CB13" s="15">
        <v>501</v>
      </c>
      <c r="CC13" s="37" t="str">
        <f t="shared" si="22"/>
        <v>654/3006</v>
      </c>
      <c r="CD13" s="37" t="str">
        <f t="shared" si="23"/>
        <v>109/501</v>
      </c>
      <c r="CF13" s="10">
        <v>10</v>
      </c>
      <c r="CG13" s="15">
        <v>121</v>
      </c>
      <c r="CH13" s="15">
        <v>143</v>
      </c>
      <c r="CI13" s="15" t="str">
        <f t="shared" si="24"/>
        <v>11*11*1</v>
      </c>
      <c r="CJ13" s="15" t="str">
        <f t="shared" si="25"/>
        <v>13*11*1</v>
      </c>
      <c r="CK13" s="51">
        <v>11</v>
      </c>
      <c r="CL13" s="51">
        <v>13</v>
      </c>
      <c r="CM13" s="15">
        <v>11</v>
      </c>
      <c r="CN13" s="15">
        <v>13</v>
      </c>
      <c r="CO13" s="36" t="str">
        <f t="shared" si="26"/>
        <v>11/13</v>
      </c>
      <c r="CQ13" s="10">
        <v>10</v>
      </c>
      <c r="CR13" s="15">
        <v>1212</v>
      </c>
      <c r="CS13" s="15">
        <v>1515</v>
      </c>
      <c r="CT13" s="15">
        <f t="shared" si="27"/>
        <v>303</v>
      </c>
      <c r="CU13" s="15">
        <f t="shared" si="28"/>
        <v>4</v>
      </c>
      <c r="CV13" s="15">
        <f t="shared" si="29"/>
        <v>5</v>
      </c>
      <c r="CW13" s="36" t="str">
        <f t="shared" si="30"/>
        <v>4/5</v>
      </c>
      <c r="CY13" s="10">
        <v>10</v>
      </c>
      <c r="CZ13" s="10">
        <v>2</v>
      </c>
      <c r="DA13" s="10">
        <v>3</v>
      </c>
      <c r="DB13" s="10">
        <v>5</v>
      </c>
      <c r="DC13" s="10">
        <v>6</v>
      </c>
      <c r="DD13" s="10">
        <v>7</v>
      </c>
      <c r="DE13" s="10">
        <v>4</v>
      </c>
      <c r="DF13" s="10">
        <v>12</v>
      </c>
      <c r="DG13" s="10">
        <v>10</v>
      </c>
      <c r="DH13" s="10">
        <v>18</v>
      </c>
      <c r="DI13" s="10">
        <v>14</v>
      </c>
      <c r="DJ13" s="36" t="str">
        <f t="shared" si="31"/>
        <v>2*1</v>
      </c>
      <c r="DK13" s="36" t="str">
        <f t="shared" si="0"/>
        <v>3*1</v>
      </c>
      <c r="DL13" s="36" t="str">
        <f t="shared" si="0"/>
        <v>5*1</v>
      </c>
      <c r="DM13" s="36" t="str">
        <f t="shared" si="0"/>
        <v>3*2*1</v>
      </c>
      <c r="DN13" s="36" t="str">
        <f t="shared" si="0"/>
        <v>7*1</v>
      </c>
      <c r="DO13" s="36" t="str">
        <f t="shared" si="0"/>
        <v>2*2*1</v>
      </c>
      <c r="DP13" s="36" t="str">
        <f t="shared" si="0"/>
        <v>3*2*2*1</v>
      </c>
      <c r="DQ13" s="36" t="str">
        <f t="shared" si="0"/>
        <v>5*2*1</v>
      </c>
      <c r="DR13" s="36" t="str">
        <f t="shared" si="0"/>
        <v>3*3*2*1</v>
      </c>
      <c r="DS13" s="36" t="str">
        <f t="shared" si="0"/>
        <v>7*2*1</v>
      </c>
      <c r="DT13" s="51">
        <v>1</v>
      </c>
      <c r="DU13" s="51" t="s">
        <v>174</v>
      </c>
      <c r="DV13" s="36">
        <v>1</v>
      </c>
      <c r="DW13" s="36">
        <f>3*2^5</f>
        <v>96</v>
      </c>
      <c r="DX13" s="20">
        <f t="shared" si="32"/>
        <v>1.0416666666666666E-2</v>
      </c>
      <c r="DZ13" s="10">
        <v>10</v>
      </c>
      <c r="EA13" s="10">
        <v>2</v>
      </c>
      <c r="EB13" s="10">
        <v>3</v>
      </c>
      <c r="EC13" s="10">
        <v>5</v>
      </c>
      <c r="ED13" s="10">
        <v>9</v>
      </c>
      <c r="EE13" s="10">
        <v>7</v>
      </c>
      <c r="EF13" s="10">
        <v>18</v>
      </c>
      <c r="EI13" s="10">
        <f t="shared" si="33"/>
        <v>18</v>
      </c>
      <c r="EJ13" s="10">
        <f t="shared" si="34"/>
        <v>12</v>
      </c>
      <c r="EK13" s="10">
        <f t="shared" si="35"/>
        <v>10</v>
      </c>
      <c r="EL13" s="10">
        <f t="shared" si="44"/>
        <v>7</v>
      </c>
      <c r="EN13" s="10" t="str">
        <f t="shared" si="36"/>
        <v>12/18</v>
      </c>
      <c r="EO13" s="10" t="str">
        <f t="shared" si="37"/>
        <v>10/18</v>
      </c>
      <c r="EP13" s="10" t="str">
        <f t="shared" si="45"/>
        <v>7/18</v>
      </c>
      <c r="ES13" s="10">
        <v>10</v>
      </c>
      <c r="ET13" s="10">
        <v>3</v>
      </c>
      <c r="EU13" s="10">
        <v>5</v>
      </c>
      <c r="EV13" s="10">
        <v>1</v>
      </c>
      <c r="EW13" s="10">
        <v>12</v>
      </c>
      <c r="EX13" s="10">
        <v>5</v>
      </c>
      <c r="EY13" s="10">
        <v>8</v>
      </c>
      <c r="EZ13" s="10">
        <v>7</v>
      </c>
      <c r="FA13" s="10">
        <v>120</v>
      </c>
      <c r="FB13" s="10">
        <f t="shared" si="38"/>
        <v>120</v>
      </c>
      <c r="FC13" s="10">
        <f t="shared" si="39"/>
        <v>72</v>
      </c>
      <c r="FD13" s="10">
        <f t="shared" si="40"/>
        <v>10</v>
      </c>
      <c r="FE13" s="10">
        <f t="shared" si="43"/>
        <v>75</v>
      </c>
      <c r="FF13" s="10">
        <f>(FB13/FA13)*EZ13</f>
        <v>7</v>
      </c>
      <c r="FG13" s="10" t="str">
        <f t="shared" si="41"/>
        <v>72/120</v>
      </c>
      <c r="FH13" s="10" t="str">
        <f t="shared" si="42"/>
        <v>10/120</v>
      </c>
      <c r="FI13" s="10" t="str">
        <f t="shared" si="46"/>
        <v>75/120</v>
      </c>
      <c r="FJ13" s="10" t="str">
        <f>Quebrado(0,FF13,FB13)</f>
        <v>7/120</v>
      </c>
    </row>
    <row r="14" spans="1:166" ht="17">
      <c r="A14" s="10">
        <v>11</v>
      </c>
      <c r="B14" s="10">
        <v>9</v>
      </c>
      <c r="C14" s="10">
        <v>2</v>
      </c>
      <c r="D14" s="10">
        <v>3</v>
      </c>
      <c r="E14" s="82">
        <f t="shared" si="1"/>
        <v>9.6666666666666661</v>
      </c>
      <c r="F14" s="36" t="str">
        <f t="shared" si="2"/>
        <v>29/3</v>
      </c>
      <c r="H14" s="10">
        <v>11</v>
      </c>
      <c r="I14" s="10">
        <v>60</v>
      </c>
      <c r="J14" s="10">
        <v>3</v>
      </c>
      <c r="K14" s="10">
        <v>17</v>
      </c>
      <c r="L14" s="20">
        <f t="shared" si="3"/>
        <v>60.176470588235297</v>
      </c>
      <c r="M14" s="36" t="str">
        <f t="shared" si="4"/>
        <v>1023/17</v>
      </c>
      <c r="O14" s="10">
        <v>11</v>
      </c>
      <c r="P14" s="10">
        <v>25</v>
      </c>
      <c r="Q14" s="10">
        <v>8</v>
      </c>
      <c r="R14" s="37" t="str">
        <f t="shared" si="5"/>
        <v>25/8</v>
      </c>
      <c r="S14" s="18">
        <f t="shared" si="6"/>
        <v>3</v>
      </c>
      <c r="U14" s="10">
        <v>11</v>
      </c>
      <c r="V14" s="15">
        <v>815</v>
      </c>
      <c r="W14" s="15">
        <v>237</v>
      </c>
      <c r="X14" s="37" t="str">
        <f t="shared" si="7"/>
        <v>815/237</v>
      </c>
      <c r="Y14" s="18">
        <f t="shared" si="8"/>
        <v>3</v>
      </c>
      <c r="AA14" s="10">
        <v>11</v>
      </c>
      <c r="AB14" s="15">
        <v>5</v>
      </c>
      <c r="AC14" s="15">
        <v>12</v>
      </c>
      <c r="AD14" s="37" t="str">
        <f t="shared" si="9"/>
        <v>60/12</v>
      </c>
      <c r="AF14" s="10">
        <v>11</v>
      </c>
      <c r="AG14" s="15">
        <v>84</v>
      </c>
      <c r="AH14" s="15">
        <v>92</v>
      </c>
      <c r="AI14" s="37" t="str">
        <f t="shared" si="10"/>
        <v>7728/92</v>
      </c>
      <c r="AK14" s="10">
        <v>11</v>
      </c>
      <c r="AL14" s="15">
        <v>2356</v>
      </c>
      <c r="AM14" s="15">
        <v>19</v>
      </c>
      <c r="AN14" s="37" t="str">
        <f t="shared" si="11"/>
        <v>44764/19</v>
      </c>
      <c r="AP14" s="10">
        <v>11</v>
      </c>
      <c r="AQ14" s="15">
        <v>2</v>
      </c>
      <c r="AR14" s="15">
        <v>9</v>
      </c>
      <c r="AS14" s="15">
        <v>36</v>
      </c>
      <c r="AT14" s="37" t="str">
        <f t="shared" si="12"/>
        <v>2/9</v>
      </c>
      <c r="AU14" s="37" t="str">
        <f t="shared" si="13"/>
        <v>8/36</v>
      </c>
      <c r="AW14" s="10">
        <v>11</v>
      </c>
      <c r="AX14" s="15">
        <v>24</v>
      </c>
      <c r="AY14" s="15">
        <v>25</v>
      </c>
      <c r="AZ14" s="15">
        <v>200</v>
      </c>
      <c r="BA14" s="37" t="str">
        <f t="shared" si="14"/>
        <v>24/25</v>
      </c>
      <c r="BB14" s="37" t="str">
        <f t="shared" si="15"/>
        <v>192/200</v>
      </c>
      <c r="BD14" s="10">
        <v>11</v>
      </c>
      <c r="BE14" s="15">
        <v>5</v>
      </c>
      <c r="BF14" s="15">
        <v>18</v>
      </c>
      <c r="BG14" s="15">
        <v>3600</v>
      </c>
      <c r="BH14" s="37" t="str">
        <f t="shared" si="16"/>
        <v>5/18</v>
      </c>
      <c r="BI14" s="37" t="str">
        <f t="shared" si="17"/>
        <v>1000/3600</v>
      </c>
      <c r="BK14" s="10">
        <v>11</v>
      </c>
      <c r="BL14" s="15">
        <v>15</v>
      </c>
      <c r="BM14" s="15">
        <v>25</v>
      </c>
      <c r="BN14" s="15">
        <v>5</v>
      </c>
      <c r="BO14" s="37" t="str">
        <f t="shared" si="18"/>
        <v>15/25</v>
      </c>
      <c r="BP14" s="37" t="str">
        <f t="shared" si="19"/>
        <v>3/5</v>
      </c>
      <c r="BR14" s="10">
        <v>11</v>
      </c>
      <c r="BS14" s="15">
        <v>84</v>
      </c>
      <c r="BT14" s="15">
        <v>128</v>
      </c>
      <c r="BU14" s="15">
        <v>32</v>
      </c>
      <c r="BV14" s="37" t="str">
        <f t="shared" si="20"/>
        <v>84/128</v>
      </c>
      <c r="BW14" s="37" t="str">
        <f t="shared" si="21"/>
        <v>21/32</v>
      </c>
      <c r="BY14" s="10">
        <v>11</v>
      </c>
      <c r="BZ14" s="15">
        <v>726</v>
      </c>
      <c r="CA14" s="15">
        <v>3828</v>
      </c>
      <c r="CB14" s="15">
        <v>638</v>
      </c>
      <c r="CC14" s="37" t="str">
        <f t="shared" si="22"/>
        <v>726/3828</v>
      </c>
      <c r="CD14" s="37" t="str">
        <f t="shared" si="23"/>
        <v>121/638</v>
      </c>
      <c r="CF14" s="10">
        <v>11</v>
      </c>
      <c r="CG14" s="15">
        <v>306</v>
      </c>
      <c r="CH14" s="15">
        <v>1452</v>
      </c>
      <c r="CI14" s="15" t="str">
        <f t="shared" si="24"/>
        <v>17*3*3*2*1</v>
      </c>
      <c r="CJ14" s="15" t="str">
        <f t="shared" si="25"/>
        <v>11*11*3*2*2*1</v>
      </c>
      <c r="CK14" s="51" t="s">
        <v>134</v>
      </c>
      <c r="CL14" s="85" t="s">
        <v>143</v>
      </c>
      <c r="CM14" s="51">
        <f>17*3</f>
        <v>51</v>
      </c>
      <c r="CN14" s="15">
        <f>11^2*2</f>
        <v>242</v>
      </c>
      <c r="CO14" s="36" t="str">
        <f t="shared" si="26"/>
        <v>51/242</v>
      </c>
      <c r="CQ14" s="10">
        <v>11</v>
      </c>
      <c r="CR14" s="15">
        <v>1503</v>
      </c>
      <c r="CS14" s="15">
        <v>2338</v>
      </c>
      <c r="CT14" s="15">
        <f t="shared" si="27"/>
        <v>167</v>
      </c>
      <c r="CU14" s="15">
        <f t="shared" si="28"/>
        <v>9</v>
      </c>
      <c r="CV14" s="15">
        <f t="shared" si="29"/>
        <v>14</v>
      </c>
      <c r="CW14" s="36" t="str">
        <f t="shared" si="30"/>
        <v>9/14</v>
      </c>
      <c r="CY14" s="10">
        <v>11</v>
      </c>
      <c r="CZ14" s="10">
        <v>12</v>
      </c>
      <c r="DA14" s="10">
        <v>9</v>
      </c>
      <c r="DB14" s="10">
        <v>25</v>
      </c>
      <c r="DC14" s="10">
        <v>35</v>
      </c>
      <c r="DD14" s="10">
        <v>34</v>
      </c>
      <c r="DE14" s="10">
        <v>16</v>
      </c>
      <c r="DF14" s="10">
        <v>10</v>
      </c>
      <c r="DG14" s="10">
        <v>27</v>
      </c>
      <c r="DH14" s="10">
        <v>49</v>
      </c>
      <c r="DI14" s="10">
        <v>17</v>
      </c>
      <c r="DJ14" s="36" t="str">
        <f t="shared" si="31"/>
        <v>3*2*2*1</v>
      </c>
      <c r="DK14" s="36" t="str">
        <f t="shared" si="0"/>
        <v>3*3*1</v>
      </c>
      <c r="DL14" s="36" t="str">
        <f t="shared" si="0"/>
        <v>5*5*1</v>
      </c>
      <c r="DM14" s="36" t="str">
        <f t="shared" si="0"/>
        <v>7*5*1</v>
      </c>
      <c r="DN14" s="36" t="str">
        <f t="shared" si="0"/>
        <v>17*2*1</v>
      </c>
      <c r="DO14" s="36" t="str">
        <f t="shared" si="0"/>
        <v>2*2*2*2*1</v>
      </c>
      <c r="DP14" s="36" t="str">
        <f t="shared" si="0"/>
        <v>5*2*1</v>
      </c>
      <c r="DQ14" s="36" t="str">
        <f t="shared" si="0"/>
        <v>3*3*3*1</v>
      </c>
      <c r="DR14" s="36" t="str">
        <f t="shared" si="0"/>
        <v>7*7*1</v>
      </c>
      <c r="DS14" s="36" t="str">
        <f t="shared" si="0"/>
        <v>17*1</v>
      </c>
      <c r="DT14" s="51">
        <v>52</v>
      </c>
      <c r="DU14" s="51" t="s">
        <v>171</v>
      </c>
      <c r="DV14" s="36">
        <f>5^2</f>
        <v>25</v>
      </c>
      <c r="DW14" s="36">
        <f>7*2^2</f>
        <v>28</v>
      </c>
      <c r="DX14" s="20">
        <f t="shared" si="32"/>
        <v>0.8928571428571429</v>
      </c>
      <c r="DZ14" s="10">
        <v>11</v>
      </c>
      <c r="EA14" s="10">
        <v>1</v>
      </c>
      <c r="EB14" s="10">
        <v>2</v>
      </c>
      <c r="EC14" s="10">
        <v>3</v>
      </c>
      <c r="ED14" s="10">
        <v>4</v>
      </c>
      <c r="EE14" s="10">
        <v>1</v>
      </c>
      <c r="EF14" s="10">
        <v>8</v>
      </c>
      <c r="EG14" s="10">
        <v>3</v>
      </c>
      <c r="EH14" s="10">
        <v>16</v>
      </c>
      <c r="EI14" s="10">
        <f t="shared" si="33"/>
        <v>16</v>
      </c>
      <c r="EJ14" s="10">
        <f t="shared" si="34"/>
        <v>8</v>
      </c>
      <c r="EK14" s="10">
        <f t="shared" si="35"/>
        <v>12</v>
      </c>
      <c r="EL14" s="10">
        <f t="shared" si="44"/>
        <v>2</v>
      </c>
      <c r="EM14" s="10">
        <f>(EI14/EH14)*EG14</f>
        <v>3</v>
      </c>
      <c r="EN14" s="10" t="str">
        <f t="shared" si="36"/>
        <v>8/16</v>
      </c>
      <c r="EO14" s="10" t="str">
        <f t="shared" si="37"/>
        <v>12/16</v>
      </c>
      <c r="EP14" s="10" t="str">
        <f t="shared" si="45"/>
        <v>2/16</v>
      </c>
      <c r="EQ14" s="10" t="str">
        <f>Quebrado(0,EM14,EI14)</f>
        <v>3/16</v>
      </c>
      <c r="ES14" s="10">
        <v>11</v>
      </c>
      <c r="ET14" s="10">
        <v>7</v>
      </c>
      <c r="EU14" s="10">
        <v>8</v>
      </c>
      <c r="EV14" s="10">
        <v>3</v>
      </c>
      <c r="EW14" s="10">
        <v>4</v>
      </c>
      <c r="EX14" s="10">
        <v>15</v>
      </c>
      <c r="EY14" s="10">
        <v>48</v>
      </c>
      <c r="EZ14" s="10">
        <v>1</v>
      </c>
      <c r="FA14" s="10">
        <v>64</v>
      </c>
      <c r="FB14" s="10">
        <f t="shared" si="38"/>
        <v>192</v>
      </c>
      <c r="FC14" s="10">
        <f t="shared" si="39"/>
        <v>168</v>
      </c>
      <c r="FD14" s="10">
        <f t="shared" si="40"/>
        <v>144</v>
      </c>
      <c r="FE14" s="10">
        <f t="shared" si="43"/>
        <v>60</v>
      </c>
      <c r="FF14" s="10">
        <f t="shared" ref="FF14:FF19" si="47">(FB14/FA14)*EZ14</f>
        <v>3</v>
      </c>
      <c r="FG14" s="10" t="str">
        <f t="shared" si="41"/>
        <v>168/192</v>
      </c>
      <c r="FH14" s="10" t="str">
        <f t="shared" si="42"/>
        <v>144/192</v>
      </c>
      <c r="FI14" s="10" t="str">
        <f t="shared" si="46"/>
        <v>60/192</v>
      </c>
      <c r="FJ14" s="10" t="str">
        <f t="shared" ref="FJ14:FJ19" si="48">Quebrado(0,FF14,FB14)</f>
        <v>3/192</v>
      </c>
    </row>
    <row r="15" spans="1:166">
      <c r="A15" s="10">
        <v>12</v>
      </c>
      <c r="B15" s="10">
        <v>9</v>
      </c>
      <c r="C15" s="10">
        <v>5</v>
      </c>
      <c r="D15" s="10">
        <v>6</v>
      </c>
      <c r="E15" s="82">
        <f t="shared" si="1"/>
        <v>9.8333333333333339</v>
      </c>
      <c r="F15" s="36" t="str">
        <f t="shared" si="2"/>
        <v>59/6</v>
      </c>
      <c r="H15" s="10">
        <v>12</v>
      </c>
      <c r="I15" s="10">
        <v>60</v>
      </c>
      <c r="J15" s="10">
        <v>7</v>
      </c>
      <c r="K15" s="10">
        <v>80</v>
      </c>
      <c r="L15" s="20">
        <f t="shared" si="3"/>
        <v>60.087499999999999</v>
      </c>
      <c r="M15" s="36" t="str">
        <f t="shared" si="4"/>
        <v>4807/80</v>
      </c>
      <c r="O15" s="10">
        <v>12</v>
      </c>
      <c r="P15" s="10">
        <v>31</v>
      </c>
      <c r="Q15" s="10">
        <v>4</v>
      </c>
      <c r="R15" s="37" t="str">
        <f t="shared" si="5"/>
        <v>31/4</v>
      </c>
      <c r="S15" s="18">
        <f t="shared" si="6"/>
        <v>7</v>
      </c>
      <c r="U15" s="10">
        <v>12</v>
      </c>
      <c r="V15" s="15">
        <v>1001</v>
      </c>
      <c r="W15" s="15">
        <v>184</v>
      </c>
      <c r="X15" s="37" t="str">
        <f t="shared" si="7"/>
        <v>1001/184</v>
      </c>
      <c r="Y15" s="18">
        <f t="shared" si="8"/>
        <v>5</v>
      </c>
      <c r="AA15" s="10">
        <v>12</v>
      </c>
      <c r="AB15" s="15">
        <v>6</v>
      </c>
      <c r="AC15" s="15">
        <v>13</v>
      </c>
      <c r="AD15" s="37" t="str">
        <f t="shared" si="9"/>
        <v>78/13</v>
      </c>
      <c r="AF15" s="10">
        <v>12</v>
      </c>
      <c r="AG15" s="15">
        <v>95</v>
      </c>
      <c r="AH15" s="15">
        <v>95</v>
      </c>
      <c r="AI15" s="37" t="str">
        <f t="shared" si="10"/>
        <v>9025/95</v>
      </c>
      <c r="AK15" s="10">
        <v>12</v>
      </c>
      <c r="AL15" s="15">
        <v>3789</v>
      </c>
      <c r="AM15" s="15">
        <v>17</v>
      </c>
      <c r="AN15" s="37" t="str">
        <f t="shared" si="11"/>
        <v>64413/17</v>
      </c>
      <c r="AP15" s="10">
        <v>12</v>
      </c>
      <c r="AQ15" s="15">
        <v>1</v>
      </c>
      <c r="AR15" s="15">
        <v>10</v>
      </c>
      <c r="AS15" s="15">
        <v>40</v>
      </c>
      <c r="AT15" s="37" t="str">
        <f t="shared" si="12"/>
        <v>1/10</v>
      </c>
      <c r="AU15" s="37" t="str">
        <f t="shared" si="13"/>
        <v>4/40</v>
      </c>
      <c r="AW15" s="10">
        <v>12</v>
      </c>
      <c r="AX15" s="15">
        <v>23</v>
      </c>
      <c r="AY15" s="15">
        <v>26</v>
      </c>
      <c r="AZ15" s="15">
        <v>104</v>
      </c>
      <c r="BA15" s="37" t="str">
        <f t="shared" si="14"/>
        <v>23/26</v>
      </c>
      <c r="BB15" s="37" t="str">
        <f t="shared" si="15"/>
        <v>92/104</v>
      </c>
      <c r="BD15" s="10">
        <v>12</v>
      </c>
      <c r="BE15" s="15">
        <v>19</v>
      </c>
      <c r="BF15" s="15">
        <v>23</v>
      </c>
      <c r="BG15" s="15">
        <v>1058</v>
      </c>
      <c r="BH15" s="37" t="str">
        <f t="shared" si="16"/>
        <v>19/23</v>
      </c>
      <c r="BI15" s="37" t="str">
        <f t="shared" si="17"/>
        <v>874/1058</v>
      </c>
      <c r="BK15" s="10">
        <v>12</v>
      </c>
      <c r="BL15" s="15">
        <v>13</v>
      </c>
      <c r="BM15" s="15">
        <v>26</v>
      </c>
      <c r="BN15" s="15">
        <v>2</v>
      </c>
      <c r="BO15" s="37" t="str">
        <f t="shared" si="18"/>
        <v>13/26</v>
      </c>
      <c r="BP15" s="37" t="str">
        <f t="shared" si="19"/>
        <v>1/2</v>
      </c>
      <c r="BR15" s="10">
        <v>12</v>
      </c>
      <c r="BS15" s="15">
        <v>119</v>
      </c>
      <c r="BT15" s="15">
        <v>364</v>
      </c>
      <c r="BU15" s="15">
        <v>52</v>
      </c>
      <c r="BV15" s="37" t="str">
        <f t="shared" si="20"/>
        <v>119/364</v>
      </c>
      <c r="BW15" s="37" t="str">
        <f t="shared" si="21"/>
        <v>17/52</v>
      </c>
      <c r="BY15" s="10">
        <v>12</v>
      </c>
      <c r="BZ15" s="15">
        <v>93</v>
      </c>
      <c r="CA15" s="15">
        <v>961</v>
      </c>
      <c r="CB15" s="15">
        <v>31</v>
      </c>
      <c r="CC15" s="37" t="str">
        <f t="shared" si="22"/>
        <v>93/961</v>
      </c>
      <c r="CD15" s="37" t="str">
        <f t="shared" si="23"/>
        <v>3/31</v>
      </c>
      <c r="CF15" s="10">
        <v>12</v>
      </c>
      <c r="CG15" s="15">
        <v>168</v>
      </c>
      <c r="CH15" s="15">
        <v>264</v>
      </c>
      <c r="CI15" s="15" t="str">
        <f t="shared" si="24"/>
        <v>7*3*2*2*2*1</v>
      </c>
      <c r="CJ15" s="15" t="str">
        <f t="shared" si="25"/>
        <v>11*3*2*2*2*1</v>
      </c>
      <c r="CK15" s="51">
        <v>7</v>
      </c>
      <c r="CL15" s="51">
        <v>11</v>
      </c>
      <c r="CM15" s="15">
        <v>7</v>
      </c>
      <c r="CN15" s="15">
        <v>11</v>
      </c>
      <c r="CO15" s="36" t="str">
        <f t="shared" si="26"/>
        <v>7/11</v>
      </c>
      <c r="CQ15" s="10">
        <v>12</v>
      </c>
      <c r="CR15" s="15">
        <v>343</v>
      </c>
      <c r="CS15" s="15">
        <v>7007</v>
      </c>
      <c r="CT15" s="15">
        <f t="shared" si="27"/>
        <v>49</v>
      </c>
      <c r="CU15" s="15">
        <f t="shared" si="28"/>
        <v>7</v>
      </c>
      <c r="CV15" s="15">
        <f t="shared" si="29"/>
        <v>143</v>
      </c>
      <c r="CW15" s="36" t="str">
        <f t="shared" si="30"/>
        <v>7/143</v>
      </c>
      <c r="CY15" s="10">
        <v>12</v>
      </c>
      <c r="CZ15" s="10">
        <v>350</v>
      </c>
      <c r="DA15" s="10">
        <v>1200</v>
      </c>
      <c r="DB15" s="10">
        <v>4000</v>
      </c>
      <c r="DC15" s="10">
        <v>620</v>
      </c>
      <c r="DD15" s="10">
        <v>340</v>
      </c>
      <c r="DE15" s="10">
        <v>1000</v>
      </c>
      <c r="DF15" s="10">
        <v>50</v>
      </c>
      <c r="DG15" s="10">
        <v>200</v>
      </c>
      <c r="DH15" s="10">
        <v>800</v>
      </c>
      <c r="DI15" s="10">
        <v>170</v>
      </c>
      <c r="DJ15" s="36" t="str">
        <f t="shared" si="31"/>
        <v>7*5*5*2*1</v>
      </c>
      <c r="DK15" s="36" t="str">
        <f t="shared" si="0"/>
        <v>5*5*3*2*2*2*2*1</v>
      </c>
      <c r="DL15" s="36" t="str">
        <f t="shared" si="0"/>
        <v>5*5*5*2*2*2*2*2*1</v>
      </c>
      <c r="DM15" s="36" t="str">
        <f t="shared" si="0"/>
        <v>31*5*2*2*1</v>
      </c>
      <c r="DN15" s="36" t="str">
        <f t="shared" si="0"/>
        <v>17*5*2*2*1</v>
      </c>
      <c r="DO15" s="36" t="str">
        <f t="shared" si="0"/>
        <v>5*5*5*2*2*2*1</v>
      </c>
      <c r="DP15" s="36" t="str">
        <f t="shared" si="0"/>
        <v>5*5*2*1</v>
      </c>
      <c r="DQ15" s="36" t="str">
        <f t="shared" si="0"/>
        <v>5*5*2*2*2*1</v>
      </c>
      <c r="DR15" s="36" t="str">
        <f t="shared" si="0"/>
        <v>5*5*2*2*2*2*2*1</v>
      </c>
      <c r="DS15" s="36" t="str">
        <f t="shared" si="0"/>
        <v>17*5*2*1</v>
      </c>
      <c r="DT15" s="51" t="s">
        <v>170</v>
      </c>
      <c r="DU15" s="51">
        <v>5</v>
      </c>
      <c r="DV15" s="36">
        <f>31*7*2*3</f>
        <v>1302</v>
      </c>
      <c r="DW15" s="36">
        <v>5</v>
      </c>
      <c r="DX15" s="20">
        <f t="shared" si="32"/>
        <v>260.39999999999998</v>
      </c>
      <c r="DZ15" s="10">
        <v>12</v>
      </c>
      <c r="EA15" s="10">
        <v>1</v>
      </c>
      <c r="EB15" s="10">
        <v>3</v>
      </c>
      <c r="EC15" s="10">
        <v>2</v>
      </c>
      <c r="ED15" s="10">
        <v>9</v>
      </c>
      <c r="EE15" s="10">
        <v>5</v>
      </c>
      <c r="EF15" s="10">
        <v>27</v>
      </c>
      <c r="EG15" s="10">
        <v>1</v>
      </c>
      <c r="EH15" s="10">
        <v>81</v>
      </c>
      <c r="EI15" s="10">
        <f t="shared" si="33"/>
        <v>81</v>
      </c>
      <c r="EJ15" s="10">
        <f t="shared" si="34"/>
        <v>27</v>
      </c>
      <c r="EK15" s="10">
        <f t="shared" si="35"/>
        <v>18</v>
      </c>
      <c r="EL15" s="10">
        <f t="shared" si="44"/>
        <v>15</v>
      </c>
      <c r="EM15" s="10">
        <f>(EI15/EH15)*EG15</f>
        <v>1</v>
      </c>
      <c r="EN15" s="10" t="str">
        <f t="shared" si="36"/>
        <v>27/81</v>
      </c>
      <c r="EO15" s="10" t="str">
        <f t="shared" si="37"/>
        <v>18/81</v>
      </c>
      <c r="EP15" s="10" t="str">
        <f t="shared" si="45"/>
        <v>15/81</v>
      </c>
      <c r="EQ15" s="10" t="str">
        <f>Quebrado(0,EM15,EI15)</f>
        <v>1/81</v>
      </c>
      <c r="ES15" s="10">
        <v>12</v>
      </c>
      <c r="ET15" s="10">
        <v>3</v>
      </c>
      <c r="EU15" s="10">
        <v>16</v>
      </c>
      <c r="EV15" s="10">
        <v>1</v>
      </c>
      <c r="EW15" s="10">
        <v>21</v>
      </c>
      <c r="EX15" s="10">
        <v>2</v>
      </c>
      <c r="EY15" s="10">
        <v>15</v>
      </c>
      <c r="EZ15" s="10">
        <v>7</v>
      </c>
      <c r="FA15" s="10">
        <v>48</v>
      </c>
      <c r="FB15" s="10">
        <f t="shared" si="38"/>
        <v>1680</v>
      </c>
      <c r="FC15" s="10">
        <f t="shared" si="39"/>
        <v>315</v>
      </c>
      <c r="FD15" s="10">
        <f t="shared" si="40"/>
        <v>80</v>
      </c>
      <c r="FE15" s="10">
        <f t="shared" si="43"/>
        <v>224</v>
      </c>
      <c r="FF15" s="10">
        <f t="shared" si="47"/>
        <v>245</v>
      </c>
      <c r="FG15" s="10" t="str">
        <f t="shared" si="41"/>
        <v>315/1680</v>
      </c>
      <c r="FH15" s="10" t="str">
        <f t="shared" si="42"/>
        <v>80/1680</v>
      </c>
      <c r="FI15" s="10" t="str">
        <f t="shared" si="46"/>
        <v>224/1680</v>
      </c>
      <c r="FJ15" s="10" t="str">
        <f t="shared" si="48"/>
        <v>245/1680</v>
      </c>
    </row>
    <row r="16" spans="1:166" ht="18">
      <c r="A16" s="10">
        <v>13</v>
      </c>
      <c r="B16" s="10">
        <v>10</v>
      </c>
      <c r="C16" s="10">
        <v>1</v>
      </c>
      <c r="D16" s="10">
        <v>3</v>
      </c>
      <c r="E16" s="82">
        <f t="shared" si="1"/>
        <v>10.333333333333334</v>
      </c>
      <c r="F16" s="36" t="str">
        <f t="shared" si="2"/>
        <v>31/3</v>
      </c>
      <c r="H16" s="10">
        <v>13</v>
      </c>
      <c r="I16" s="10">
        <v>5</v>
      </c>
      <c r="J16" s="10">
        <v>3</v>
      </c>
      <c r="K16" s="10">
        <v>106</v>
      </c>
      <c r="L16" s="20">
        <f t="shared" si="3"/>
        <v>5.0283018867924527</v>
      </c>
      <c r="M16" s="36" t="str">
        <f t="shared" si="4"/>
        <v>533/106</v>
      </c>
      <c r="O16" s="10">
        <v>13</v>
      </c>
      <c r="P16" s="10">
        <v>63</v>
      </c>
      <c r="Q16" s="10">
        <v>10</v>
      </c>
      <c r="R16" s="37" t="str">
        <f t="shared" si="5"/>
        <v>63/10</v>
      </c>
      <c r="S16" s="18">
        <f t="shared" si="6"/>
        <v>6</v>
      </c>
      <c r="U16" s="10">
        <v>13</v>
      </c>
      <c r="V16" s="15">
        <v>1563</v>
      </c>
      <c r="W16" s="15">
        <v>315</v>
      </c>
      <c r="X16" s="37" t="str">
        <f t="shared" si="7"/>
        <v>1563/315</v>
      </c>
      <c r="Y16" s="18">
        <f t="shared" si="8"/>
        <v>4</v>
      </c>
      <c r="AA16" s="10">
        <v>13</v>
      </c>
      <c r="AB16" s="15">
        <v>11</v>
      </c>
      <c r="AC16" s="15">
        <v>9</v>
      </c>
      <c r="AD16" s="37" t="str">
        <f t="shared" si="9"/>
        <v>99/9</v>
      </c>
      <c r="AF16" s="10">
        <v>13</v>
      </c>
      <c r="AG16" s="15">
        <v>101</v>
      </c>
      <c r="AH16" s="15">
        <v>12</v>
      </c>
      <c r="AI16" s="37" t="str">
        <f t="shared" si="10"/>
        <v>1212/12</v>
      </c>
      <c r="AK16" s="10">
        <v>13</v>
      </c>
      <c r="AL16" s="15">
        <v>4444</v>
      </c>
      <c r="AM16" s="15">
        <v>15</v>
      </c>
      <c r="AN16" s="37" t="str">
        <f t="shared" si="11"/>
        <v>66660/15</v>
      </c>
      <c r="AP16" s="10">
        <v>13</v>
      </c>
      <c r="AQ16" s="15">
        <v>2</v>
      </c>
      <c r="AR16" s="15">
        <v>11</v>
      </c>
      <c r="AS16" s="15">
        <v>33</v>
      </c>
      <c r="AT16" s="37" t="str">
        <f t="shared" si="12"/>
        <v>2/11</v>
      </c>
      <c r="AU16" s="37" t="str">
        <f t="shared" si="13"/>
        <v>6/33</v>
      </c>
      <c r="AW16" s="10">
        <v>13</v>
      </c>
      <c r="AX16" s="15">
        <v>33</v>
      </c>
      <c r="AY16" s="15">
        <v>29</v>
      </c>
      <c r="AZ16" s="15">
        <v>174</v>
      </c>
      <c r="BA16" s="37" t="str">
        <f t="shared" si="14"/>
        <v>33/29</v>
      </c>
      <c r="BB16" s="37" t="str">
        <f t="shared" si="15"/>
        <v>198/174</v>
      </c>
      <c r="BD16" s="10">
        <v>13</v>
      </c>
      <c r="BE16" s="15">
        <v>32</v>
      </c>
      <c r="BF16" s="15">
        <v>41</v>
      </c>
      <c r="BG16" s="15">
        <v>3690</v>
      </c>
      <c r="BH16" s="37" t="str">
        <f t="shared" si="16"/>
        <v>32/41</v>
      </c>
      <c r="BI16" s="37" t="str">
        <f t="shared" si="17"/>
        <v>2880/3690</v>
      </c>
      <c r="BK16" s="10">
        <v>13</v>
      </c>
      <c r="BL16" s="15">
        <v>9</v>
      </c>
      <c r="BM16" s="15">
        <v>27</v>
      </c>
      <c r="BN16" s="15">
        <v>3</v>
      </c>
      <c r="BO16" s="37" t="str">
        <f t="shared" si="18"/>
        <v>9/27</v>
      </c>
      <c r="BP16" s="37" t="str">
        <f t="shared" si="19"/>
        <v>1/3</v>
      </c>
      <c r="BR16" s="10">
        <v>13</v>
      </c>
      <c r="BS16" s="15">
        <v>225</v>
      </c>
      <c r="BT16" s="15">
        <v>335</v>
      </c>
      <c r="BU16" s="15">
        <v>67</v>
      </c>
      <c r="BV16" s="37" t="str">
        <f t="shared" si="20"/>
        <v>225/335</v>
      </c>
      <c r="BW16" s="37" t="str">
        <f t="shared" si="21"/>
        <v>45/67</v>
      </c>
      <c r="BY16" s="10">
        <v>13</v>
      </c>
      <c r="BZ16" s="15">
        <v>1300</v>
      </c>
      <c r="CA16" s="15">
        <v>1690</v>
      </c>
      <c r="CB16" s="15">
        <v>13</v>
      </c>
      <c r="CC16" s="37" t="str">
        <f t="shared" si="22"/>
        <v>1300/1690</v>
      </c>
      <c r="CD16" s="37" t="str">
        <f t="shared" si="23"/>
        <v>10/13</v>
      </c>
      <c r="CF16" s="10">
        <v>13</v>
      </c>
      <c r="CG16" s="15">
        <v>72</v>
      </c>
      <c r="CH16" s="15">
        <v>324</v>
      </c>
      <c r="CI16" s="15" t="str">
        <f t="shared" si="24"/>
        <v>3*3*2*2*2*1</v>
      </c>
      <c r="CJ16" s="15" t="str">
        <f t="shared" si="25"/>
        <v>3*3*3*3*2*2*1</v>
      </c>
      <c r="CK16" s="51">
        <v>2</v>
      </c>
      <c r="CL16" s="51" t="s">
        <v>144</v>
      </c>
      <c r="CM16" s="15">
        <v>2</v>
      </c>
      <c r="CN16" s="15">
        <v>9</v>
      </c>
      <c r="CO16" s="36" t="str">
        <f t="shared" si="26"/>
        <v>2/9</v>
      </c>
      <c r="CQ16" s="10">
        <v>13</v>
      </c>
      <c r="CR16" s="15">
        <v>411</v>
      </c>
      <c r="CS16" s="15">
        <v>685</v>
      </c>
      <c r="CT16" s="15">
        <f t="shared" si="27"/>
        <v>137</v>
      </c>
      <c r="CU16" s="15">
        <f t="shared" si="28"/>
        <v>3</v>
      </c>
      <c r="CV16" s="15">
        <f t="shared" si="29"/>
        <v>5</v>
      </c>
      <c r="CW16" s="36" t="str">
        <f t="shared" si="30"/>
        <v>3/5</v>
      </c>
      <c r="CY16" s="10">
        <v>13</v>
      </c>
      <c r="DZ16" s="10">
        <v>13</v>
      </c>
      <c r="EA16" s="10">
        <v>1</v>
      </c>
      <c r="EB16" s="10">
        <v>5</v>
      </c>
      <c r="EC16" s="10">
        <v>3</v>
      </c>
      <c r="ED16" s="10">
        <v>10</v>
      </c>
      <c r="EE16" s="10">
        <v>7</v>
      </c>
      <c r="EF16" s="10">
        <v>20</v>
      </c>
      <c r="EG16" s="10">
        <v>11</v>
      </c>
      <c r="EH16" s="10">
        <v>40</v>
      </c>
      <c r="EI16" s="10">
        <f t="shared" si="33"/>
        <v>40</v>
      </c>
      <c r="EJ16" s="10">
        <f t="shared" si="34"/>
        <v>8</v>
      </c>
      <c r="EK16" s="10">
        <f t="shared" si="35"/>
        <v>12</v>
      </c>
      <c r="EL16" s="10">
        <f t="shared" si="44"/>
        <v>14</v>
      </c>
      <c r="EM16" s="10">
        <f>(EI16/EH16)*EG16</f>
        <v>11</v>
      </c>
      <c r="EN16" s="10" t="str">
        <f t="shared" si="36"/>
        <v>8/40</v>
      </c>
      <c r="EO16" s="10" t="str">
        <f t="shared" si="37"/>
        <v>12/40</v>
      </c>
      <c r="EP16" s="10" t="str">
        <f t="shared" si="45"/>
        <v>14/40</v>
      </c>
      <c r="EQ16" s="10" t="str">
        <f>Quebrado(0,EM16,EI16)</f>
        <v>11/40</v>
      </c>
      <c r="ES16" s="10">
        <v>13</v>
      </c>
      <c r="ET16" s="10">
        <v>5</v>
      </c>
      <c r="EU16" s="10">
        <v>11</v>
      </c>
      <c r="EV16" s="10">
        <v>7</v>
      </c>
      <c r="EW16" s="10">
        <v>121</v>
      </c>
      <c r="EX16" s="10">
        <v>8</v>
      </c>
      <c r="EY16" s="10">
        <v>9</v>
      </c>
      <c r="EZ16" s="10">
        <v>5</v>
      </c>
      <c r="FA16" s="10">
        <v>44</v>
      </c>
      <c r="FB16" s="10">
        <f t="shared" si="38"/>
        <v>4356</v>
      </c>
      <c r="FC16" s="10">
        <f t="shared" si="39"/>
        <v>1980</v>
      </c>
      <c r="FD16" s="10">
        <f t="shared" si="40"/>
        <v>252</v>
      </c>
      <c r="FE16" s="10">
        <f t="shared" si="43"/>
        <v>3872</v>
      </c>
      <c r="FF16" s="10">
        <f t="shared" si="47"/>
        <v>495</v>
      </c>
      <c r="FG16" s="10" t="str">
        <f t="shared" si="41"/>
        <v>1980/4356</v>
      </c>
      <c r="FH16" s="10" t="str">
        <f t="shared" si="42"/>
        <v>252/4356</v>
      </c>
      <c r="FI16" s="10" t="str">
        <f t="shared" si="46"/>
        <v>3872/4356</v>
      </c>
      <c r="FJ16" s="10" t="str">
        <f t="shared" si="48"/>
        <v>495/4356</v>
      </c>
    </row>
    <row r="17" spans="1:166">
      <c r="A17" s="10">
        <v>14</v>
      </c>
      <c r="B17" s="10">
        <v>10</v>
      </c>
      <c r="C17" s="10">
        <v>3</v>
      </c>
      <c r="D17" s="10">
        <v>8</v>
      </c>
      <c r="E17" s="82">
        <f t="shared" si="1"/>
        <v>10.375</v>
      </c>
      <c r="F17" s="36" t="str">
        <f t="shared" si="2"/>
        <v>83/8</v>
      </c>
      <c r="H17" s="10">
        <v>14</v>
      </c>
      <c r="I17" s="10">
        <v>8</v>
      </c>
      <c r="J17" s="10">
        <v>1</v>
      </c>
      <c r="K17" s="10">
        <v>102</v>
      </c>
      <c r="L17" s="20">
        <f t="shared" si="3"/>
        <v>8.0098039215686274</v>
      </c>
      <c r="M17" s="36" t="str">
        <f t="shared" si="4"/>
        <v>817/102</v>
      </c>
      <c r="O17" s="10">
        <v>14</v>
      </c>
      <c r="P17" s="10">
        <v>80</v>
      </c>
      <c r="Q17" s="10">
        <v>11</v>
      </c>
      <c r="R17" s="37" t="str">
        <f t="shared" si="5"/>
        <v>80/11</v>
      </c>
      <c r="S17" s="18">
        <f t="shared" si="6"/>
        <v>7</v>
      </c>
      <c r="U17" s="10">
        <v>14</v>
      </c>
      <c r="V17" s="15">
        <v>2134</v>
      </c>
      <c r="W17" s="15">
        <v>289</v>
      </c>
      <c r="X17" s="37" t="str">
        <f t="shared" si="7"/>
        <v>2134/289</v>
      </c>
      <c r="Y17" s="18">
        <f t="shared" si="8"/>
        <v>7</v>
      </c>
      <c r="AA17" s="10">
        <v>14</v>
      </c>
      <c r="AB17" s="15">
        <v>12</v>
      </c>
      <c r="AC17" s="15">
        <v>10</v>
      </c>
      <c r="AD17" s="37" t="str">
        <f t="shared" si="9"/>
        <v>120/10</v>
      </c>
      <c r="AF17" s="10">
        <v>14</v>
      </c>
      <c r="AG17" s="15">
        <v>153</v>
      </c>
      <c r="AH17" s="15">
        <v>14</v>
      </c>
      <c r="AI17" s="37" t="str">
        <f t="shared" si="10"/>
        <v>2142/14</v>
      </c>
      <c r="AK17" s="10">
        <v>14</v>
      </c>
      <c r="AL17" s="15">
        <v>8888</v>
      </c>
      <c r="AM17" s="15">
        <v>11</v>
      </c>
      <c r="AN17" s="37" t="str">
        <f t="shared" si="11"/>
        <v>97768/11</v>
      </c>
      <c r="AP17" s="10">
        <v>14</v>
      </c>
      <c r="AQ17" s="15">
        <v>5</v>
      </c>
      <c r="AR17" s="15">
        <v>12</v>
      </c>
      <c r="AS17" s="15">
        <v>24</v>
      </c>
      <c r="AT17" s="37" t="str">
        <f t="shared" si="12"/>
        <v>5/12</v>
      </c>
      <c r="AU17" s="37" t="str">
        <f t="shared" si="13"/>
        <v>10/24</v>
      </c>
      <c r="AW17" s="10">
        <v>14</v>
      </c>
      <c r="AX17" s="15">
        <v>79</v>
      </c>
      <c r="AY17" s="15">
        <v>83</v>
      </c>
      <c r="AZ17" s="15">
        <v>415</v>
      </c>
      <c r="BA17" s="37" t="str">
        <f t="shared" si="14"/>
        <v>79/83</v>
      </c>
      <c r="BB17" s="37" t="str">
        <f t="shared" si="15"/>
        <v>395/415</v>
      </c>
      <c r="BD17" s="10">
        <v>14</v>
      </c>
      <c r="BE17" s="15">
        <v>7</v>
      </c>
      <c r="BF17" s="15">
        <v>81</v>
      </c>
      <c r="BG17" s="15">
        <v>7290</v>
      </c>
      <c r="BH17" s="37" t="str">
        <f t="shared" si="16"/>
        <v>7/81</v>
      </c>
      <c r="BI17" s="37" t="str">
        <f t="shared" si="17"/>
        <v>630/7290</v>
      </c>
      <c r="BK17" s="10">
        <v>14</v>
      </c>
      <c r="BL17" s="15">
        <v>6</v>
      </c>
      <c r="BM17" s="15">
        <v>27</v>
      </c>
      <c r="BN17" s="15">
        <v>9</v>
      </c>
      <c r="BO17" s="37" t="str">
        <f t="shared" si="18"/>
        <v>6/27</v>
      </c>
      <c r="BP17" s="37" t="str">
        <f t="shared" si="19"/>
        <v>2/9</v>
      </c>
      <c r="BR17" s="10">
        <v>14</v>
      </c>
      <c r="BS17" s="15">
        <v>126</v>
      </c>
      <c r="BT17" s="15">
        <v>729</v>
      </c>
      <c r="BU17" s="15">
        <v>81</v>
      </c>
      <c r="BV17" s="37" t="str">
        <f t="shared" si="20"/>
        <v>126/729</v>
      </c>
      <c r="BW17" s="37" t="str">
        <f t="shared" si="21"/>
        <v>14/81</v>
      </c>
      <c r="BY17" s="10">
        <v>14</v>
      </c>
      <c r="BZ17" s="15">
        <v>320</v>
      </c>
      <c r="CA17" s="15">
        <v>2720</v>
      </c>
      <c r="CB17" s="15">
        <v>17</v>
      </c>
      <c r="CC17" s="37" t="str">
        <f t="shared" si="22"/>
        <v>320/2720</v>
      </c>
      <c r="CD17" s="37" t="str">
        <f t="shared" si="23"/>
        <v>2/17</v>
      </c>
      <c r="CF17" s="10">
        <v>14</v>
      </c>
      <c r="CG17" s="15">
        <v>98</v>
      </c>
      <c r="CH17" s="15">
        <v>105</v>
      </c>
      <c r="CI17" s="15" t="str">
        <f t="shared" si="24"/>
        <v>7*7*2*1</v>
      </c>
      <c r="CJ17" s="15" t="str">
        <f t="shared" si="25"/>
        <v>7*5*3*1</v>
      </c>
      <c r="CK17" s="51" t="s">
        <v>135</v>
      </c>
      <c r="CL17" s="51" t="s">
        <v>136</v>
      </c>
      <c r="CM17" s="15">
        <f>7*2</f>
        <v>14</v>
      </c>
      <c r="CN17" s="15">
        <f>5*3</f>
        <v>15</v>
      </c>
      <c r="CO17" s="36" t="str">
        <f t="shared" si="26"/>
        <v>14/15</v>
      </c>
      <c r="CQ17" s="10">
        <v>14</v>
      </c>
      <c r="CR17" s="15">
        <v>6170</v>
      </c>
      <c r="CS17" s="15">
        <v>7404</v>
      </c>
      <c r="CT17" s="15">
        <f t="shared" si="27"/>
        <v>1234</v>
      </c>
      <c r="CU17" s="15">
        <f t="shared" si="28"/>
        <v>5</v>
      </c>
      <c r="CV17" s="15">
        <f t="shared" si="29"/>
        <v>6</v>
      </c>
      <c r="CW17" s="36" t="str">
        <f t="shared" si="30"/>
        <v>5/6</v>
      </c>
      <c r="CY17" s="10">
        <v>14</v>
      </c>
      <c r="DZ17" s="10">
        <v>14</v>
      </c>
      <c r="EA17" s="10">
        <v>1</v>
      </c>
      <c r="EB17" s="10">
        <v>6</v>
      </c>
      <c r="EC17" s="10">
        <v>3</v>
      </c>
      <c r="ED17" s="10">
        <v>10</v>
      </c>
      <c r="EE17" s="10">
        <v>7</v>
      </c>
      <c r="EF17" s="10">
        <v>15</v>
      </c>
      <c r="EG17" s="10">
        <v>4</v>
      </c>
      <c r="EH17" s="10">
        <v>30</v>
      </c>
      <c r="EI17" s="10">
        <f t="shared" si="33"/>
        <v>30</v>
      </c>
      <c r="EJ17" s="10">
        <f t="shared" si="34"/>
        <v>5</v>
      </c>
      <c r="EK17" s="10">
        <f t="shared" si="35"/>
        <v>9</v>
      </c>
      <c r="EL17" s="10">
        <f t="shared" si="44"/>
        <v>14</v>
      </c>
      <c r="EM17" s="10">
        <f>(EI17/EH17)*EG17</f>
        <v>4</v>
      </c>
      <c r="EN17" s="10" t="str">
        <f t="shared" si="36"/>
        <v>5/30</v>
      </c>
      <c r="EO17" s="10" t="str">
        <f t="shared" si="37"/>
        <v>9/30</v>
      </c>
      <c r="EP17" s="10" t="str">
        <f t="shared" si="45"/>
        <v>14/30</v>
      </c>
      <c r="EQ17" s="10" t="str">
        <f>Quebrado(0,EM17,EI17)</f>
        <v>4/30</v>
      </c>
      <c r="ES17" s="10">
        <v>14</v>
      </c>
      <c r="ET17" s="10">
        <v>2</v>
      </c>
      <c r="EU17" s="10">
        <v>24</v>
      </c>
      <c r="EV17" s="10">
        <v>18</v>
      </c>
      <c r="EW17" s="10">
        <v>48</v>
      </c>
      <c r="EX17" s="10">
        <v>5</v>
      </c>
      <c r="EY17" s="10">
        <v>22</v>
      </c>
      <c r="EZ17" s="10">
        <v>7</v>
      </c>
      <c r="FA17" s="10">
        <v>44</v>
      </c>
      <c r="FB17" s="10">
        <f t="shared" si="38"/>
        <v>528</v>
      </c>
      <c r="FC17" s="10">
        <f t="shared" si="39"/>
        <v>44</v>
      </c>
      <c r="FD17" s="10">
        <f t="shared" si="40"/>
        <v>198</v>
      </c>
      <c r="FE17" s="10">
        <f t="shared" si="43"/>
        <v>120</v>
      </c>
      <c r="FF17" s="10">
        <f t="shared" si="47"/>
        <v>84</v>
      </c>
      <c r="FG17" s="10" t="str">
        <f t="shared" si="41"/>
        <v>44/528</v>
      </c>
      <c r="FH17" s="10" t="str">
        <f t="shared" si="42"/>
        <v>198/528</v>
      </c>
      <c r="FI17" s="10" t="str">
        <f t="shared" si="46"/>
        <v>120/528</v>
      </c>
      <c r="FJ17" s="10" t="str">
        <f t="shared" si="48"/>
        <v>84/528</v>
      </c>
    </row>
    <row r="18" spans="1:166" ht="18">
      <c r="A18" s="10">
        <v>15</v>
      </c>
      <c r="B18" s="10">
        <v>10</v>
      </c>
      <c r="C18" s="10">
        <v>5</v>
      </c>
      <c r="D18" s="10">
        <v>7</v>
      </c>
      <c r="E18" s="82">
        <f t="shared" si="1"/>
        <v>10.714285714285714</v>
      </c>
      <c r="F18" s="36" t="str">
        <f t="shared" si="2"/>
        <v>75/7</v>
      </c>
      <c r="H18" s="10">
        <v>15</v>
      </c>
      <c r="I18" s="10">
        <v>25</v>
      </c>
      <c r="J18" s="10">
        <v>7</v>
      </c>
      <c r="K18" s="10">
        <v>73</v>
      </c>
      <c r="L18" s="20">
        <f t="shared" si="3"/>
        <v>25.095890410958905</v>
      </c>
      <c r="M18" s="36" t="str">
        <f t="shared" si="4"/>
        <v>1832/73</v>
      </c>
      <c r="O18" s="10">
        <v>15</v>
      </c>
      <c r="P18" s="10">
        <v>85</v>
      </c>
      <c r="Q18" s="10">
        <v>19</v>
      </c>
      <c r="R18" s="37" t="str">
        <f t="shared" si="5"/>
        <v>85/19</v>
      </c>
      <c r="S18" s="18">
        <f t="shared" si="6"/>
        <v>4</v>
      </c>
      <c r="U18" s="10">
        <v>15</v>
      </c>
      <c r="V18" s="15">
        <v>3115</v>
      </c>
      <c r="W18" s="15">
        <v>417</v>
      </c>
      <c r="X18" s="37" t="str">
        <f t="shared" si="7"/>
        <v>3115/417</v>
      </c>
      <c r="Y18" s="18">
        <f t="shared" si="8"/>
        <v>7</v>
      </c>
      <c r="AA18" s="10">
        <v>15</v>
      </c>
      <c r="AB18" s="15">
        <v>13</v>
      </c>
      <c r="AC18" s="15">
        <v>11</v>
      </c>
      <c r="AD18" s="37" t="str">
        <f t="shared" si="9"/>
        <v>143/11</v>
      </c>
      <c r="AF18" s="10">
        <v>15</v>
      </c>
      <c r="AG18" s="15">
        <v>201</v>
      </c>
      <c r="AH18" s="15">
        <v>32</v>
      </c>
      <c r="AI18" s="37" t="str">
        <f t="shared" si="10"/>
        <v>6432/32</v>
      </c>
      <c r="AL18" s="15"/>
      <c r="AM18" s="15"/>
      <c r="AN18" s="37"/>
      <c r="AP18" s="10">
        <v>15</v>
      </c>
      <c r="AQ18" s="15">
        <v>1</v>
      </c>
      <c r="AR18" s="15">
        <v>13</v>
      </c>
      <c r="AS18" s="15">
        <v>39</v>
      </c>
      <c r="AT18" s="37" t="str">
        <f t="shared" si="12"/>
        <v>1/13</v>
      </c>
      <c r="AU18" s="37" t="str">
        <f t="shared" si="13"/>
        <v>3/39</v>
      </c>
      <c r="AW18" s="10">
        <v>15</v>
      </c>
      <c r="AX18" s="15">
        <v>9</v>
      </c>
      <c r="AY18" s="15">
        <v>114</v>
      </c>
      <c r="AZ18" s="15">
        <v>798</v>
      </c>
      <c r="BA18" s="37" t="str">
        <f t="shared" si="14"/>
        <v>9/114</v>
      </c>
      <c r="BB18" s="37" t="str">
        <f t="shared" si="15"/>
        <v>63/798</v>
      </c>
      <c r="BE18" s="15"/>
      <c r="BF18" s="15"/>
      <c r="BG18" s="15"/>
      <c r="BH18" s="37"/>
      <c r="BI18" s="37"/>
      <c r="BK18" s="10">
        <v>15</v>
      </c>
      <c r="BL18" s="15">
        <v>20</v>
      </c>
      <c r="BM18" s="15">
        <v>28</v>
      </c>
      <c r="BN18" s="15">
        <v>7</v>
      </c>
      <c r="BO18" s="37" t="str">
        <f t="shared" si="18"/>
        <v>20/28</v>
      </c>
      <c r="BP18" s="37" t="str">
        <f t="shared" si="19"/>
        <v>5/7</v>
      </c>
      <c r="BR18" s="10">
        <v>15</v>
      </c>
      <c r="BS18" s="15">
        <v>512</v>
      </c>
      <c r="BT18" s="15">
        <v>776</v>
      </c>
      <c r="BU18" s="15">
        <v>97</v>
      </c>
      <c r="BV18" s="37" t="str">
        <f t="shared" si="20"/>
        <v>512/776</v>
      </c>
      <c r="BW18" s="37" t="str">
        <f t="shared" si="21"/>
        <v>64/97</v>
      </c>
      <c r="BZ18" s="15"/>
      <c r="CA18" s="15"/>
      <c r="CB18" s="15"/>
      <c r="CC18" s="37"/>
      <c r="CD18" s="37"/>
      <c r="CF18" s="10">
        <v>15</v>
      </c>
      <c r="CG18" s="15">
        <v>594</v>
      </c>
      <c r="CH18" s="15">
        <v>648</v>
      </c>
      <c r="CI18" s="15" t="str">
        <f t="shared" si="24"/>
        <v>11*3*3*3*2*1</v>
      </c>
      <c r="CJ18" s="15" t="str">
        <f t="shared" si="25"/>
        <v>3*3*3*3*2*2*2*1</v>
      </c>
      <c r="CK18" s="51">
        <v>11</v>
      </c>
      <c r="CL18" s="51" t="s">
        <v>137</v>
      </c>
      <c r="CM18" s="15">
        <v>11</v>
      </c>
      <c r="CN18" s="15">
        <f>3*2^2</f>
        <v>12</v>
      </c>
      <c r="CO18" s="36" t="str">
        <f t="shared" si="26"/>
        <v>11/12</v>
      </c>
      <c r="CQ18" s="10">
        <v>15</v>
      </c>
      <c r="CR18" s="15">
        <v>2478</v>
      </c>
      <c r="CS18" s="15">
        <v>3186</v>
      </c>
      <c r="CT18" s="15">
        <f t="shared" si="27"/>
        <v>354</v>
      </c>
      <c r="CU18" s="15">
        <f t="shared" si="28"/>
        <v>7</v>
      </c>
      <c r="CV18" s="15">
        <f t="shared" si="29"/>
        <v>9</v>
      </c>
      <c r="CW18" s="36" t="str">
        <f t="shared" si="30"/>
        <v>7/9</v>
      </c>
      <c r="CY18" s="10">
        <v>15</v>
      </c>
      <c r="DZ18" s="10">
        <v>15</v>
      </c>
      <c r="EA18" s="10">
        <v>1</v>
      </c>
      <c r="EB18" s="10">
        <v>6</v>
      </c>
      <c r="EC18" s="10">
        <v>7</v>
      </c>
      <c r="ED18" s="10">
        <v>9</v>
      </c>
      <c r="EE18" s="10">
        <v>5</v>
      </c>
      <c r="EF18" s="10">
        <v>12</v>
      </c>
      <c r="EG18" s="10">
        <v>7</v>
      </c>
      <c r="EH18" s="10">
        <v>36</v>
      </c>
      <c r="EI18" s="10">
        <f t="shared" si="33"/>
        <v>36</v>
      </c>
      <c r="EJ18" s="10">
        <f t="shared" si="34"/>
        <v>6</v>
      </c>
      <c r="EK18" s="10">
        <f t="shared" si="35"/>
        <v>28</v>
      </c>
      <c r="EL18" s="10">
        <f t="shared" si="44"/>
        <v>15</v>
      </c>
      <c r="EM18" s="10">
        <f>(EI18/EH18)*EG18</f>
        <v>7</v>
      </c>
      <c r="EN18" s="10" t="str">
        <f t="shared" si="36"/>
        <v>6/36</v>
      </c>
      <c r="EO18" s="10" t="str">
        <f t="shared" si="37"/>
        <v>28/36</v>
      </c>
      <c r="EP18" s="10" t="str">
        <f t="shared" si="45"/>
        <v>15/36</v>
      </c>
      <c r="EQ18" s="10" t="str">
        <f>Quebrado(0,EM18,EI18)</f>
        <v>7/36</v>
      </c>
      <c r="ES18" s="10">
        <v>15</v>
      </c>
      <c r="ET18" s="10">
        <v>3</v>
      </c>
      <c r="EU18" s="10">
        <v>14</v>
      </c>
      <c r="EV18" s="10">
        <v>1</v>
      </c>
      <c r="EW18" s="10">
        <v>9</v>
      </c>
      <c r="EX18" s="10">
        <v>5</v>
      </c>
      <c r="EY18" s="10">
        <v>36</v>
      </c>
      <c r="EZ18" s="10">
        <v>3</v>
      </c>
      <c r="FA18" s="10">
        <v>28</v>
      </c>
      <c r="FB18" s="10">
        <f t="shared" si="38"/>
        <v>252</v>
      </c>
      <c r="FC18" s="10">
        <f t="shared" si="39"/>
        <v>54</v>
      </c>
      <c r="FD18" s="10">
        <f t="shared" si="40"/>
        <v>28</v>
      </c>
      <c r="FE18" s="10">
        <f t="shared" si="43"/>
        <v>35</v>
      </c>
      <c r="FF18" s="10">
        <f t="shared" si="47"/>
        <v>27</v>
      </c>
      <c r="FG18" s="10" t="str">
        <f t="shared" si="41"/>
        <v>54/252</v>
      </c>
      <c r="FH18" s="10" t="str">
        <f t="shared" si="42"/>
        <v>28/252</v>
      </c>
      <c r="FI18" s="10" t="str">
        <f t="shared" si="46"/>
        <v>35/252</v>
      </c>
      <c r="FJ18" s="10" t="str">
        <f t="shared" si="48"/>
        <v>27/252</v>
      </c>
    </row>
    <row r="19" spans="1:166">
      <c r="A19" s="10">
        <v>16</v>
      </c>
      <c r="B19" s="10">
        <v>11</v>
      </c>
      <c r="C19" s="10">
        <v>2</v>
      </c>
      <c r="D19" s="10">
        <v>5</v>
      </c>
      <c r="E19" s="82">
        <f t="shared" si="1"/>
        <v>11.4</v>
      </c>
      <c r="F19" s="36" t="str">
        <f t="shared" si="2"/>
        <v>57/5</v>
      </c>
      <c r="H19" s="10">
        <v>16</v>
      </c>
      <c r="I19" s="10">
        <v>90</v>
      </c>
      <c r="J19" s="10">
        <v>19</v>
      </c>
      <c r="K19" s="10">
        <v>31</v>
      </c>
      <c r="L19" s="20">
        <f t="shared" si="3"/>
        <v>90.612903225806448</v>
      </c>
      <c r="M19" s="36" t="str">
        <f t="shared" si="4"/>
        <v>2809/31</v>
      </c>
      <c r="O19" s="10">
        <v>16</v>
      </c>
      <c r="P19" s="10">
        <v>93</v>
      </c>
      <c r="Q19" s="10">
        <v>30</v>
      </c>
      <c r="R19" s="37" t="str">
        <f t="shared" si="5"/>
        <v>93/30</v>
      </c>
      <c r="S19" s="18">
        <f t="shared" si="6"/>
        <v>3</v>
      </c>
      <c r="U19" s="10">
        <v>16</v>
      </c>
      <c r="V19" s="15">
        <v>4200</v>
      </c>
      <c r="W19" s="15">
        <v>954</v>
      </c>
      <c r="X19" s="37" t="str">
        <f t="shared" si="7"/>
        <v>4200/954</v>
      </c>
      <c r="Y19" s="18">
        <f t="shared" si="8"/>
        <v>4</v>
      </c>
      <c r="AA19" s="10">
        <v>16</v>
      </c>
      <c r="AB19" s="15">
        <v>18</v>
      </c>
      <c r="AC19" s="15">
        <v>7</v>
      </c>
      <c r="AD19" s="37" t="str">
        <f t="shared" si="9"/>
        <v>126/7</v>
      </c>
      <c r="AF19" s="10">
        <v>16</v>
      </c>
      <c r="AG19" s="15">
        <v>306</v>
      </c>
      <c r="AH19" s="15">
        <v>53</v>
      </c>
      <c r="AI19" s="37" t="str">
        <f t="shared" si="10"/>
        <v>16218/53</v>
      </c>
      <c r="AL19" s="15"/>
      <c r="AM19" s="15"/>
      <c r="AN19" s="37"/>
      <c r="AP19" s="10">
        <v>16</v>
      </c>
      <c r="AQ19" s="15">
        <v>1</v>
      </c>
      <c r="AR19" s="15">
        <v>14</v>
      </c>
      <c r="AS19" s="15">
        <v>56</v>
      </c>
      <c r="AT19" s="37" t="str">
        <f t="shared" si="12"/>
        <v>1/14</v>
      </c>
      <c r="AU19" s="37" t="str">
        <f t="shared" si="13"/>
        <v>4/56</v>
      </c>
      <c r="AW19" s="10">
        <v>16</v>
      </c>
      <c r="AX19" s="15">
        <v>1</v>
      </c>
      <c r="AY19" s="15">
        <v>11</v>
      </c>
      <c r="AZ19" s="15">
        <v>1331</v>
      </c>
      <c r="BA19" s="37" t="str">
        <f t="shared" si="14"/>
        <v>1/11</v>
      </c>
      <c r="BB19" s="37" t="str">
        <f t="shared" si="15"/>
        <v>121/1331</v>
      </c>
      <c r="BE19" s="15"/>
      <c r="BF19" s="15"/>
      <c r="BG19" s="15"/>
      <c r="BH19" s="37"/>
      <c r="BI19" s="37"/>
      <c r="BK19" s="10">
        <v>16</v>
      </c>
      <c r="BL19" s="15">
        <v>20</v>
      </c>
      <c r="BM19" s="15">
        <v>30</v>
      </c>
      <c r="BN19" s="15">
        <v>3</v>
      </c>
      <c r="BO19" s="37" t="str">
        <f t="shared" si="18"/>
        <v>20/30</v>
      </c>
      <c r="BP19" s="37" t="str">
        <f t="shared" si="19"/>
        <v>2/3</v>
      </c>
      <c r="BR19" s="10">
        <v>16</v>
      </c>
      <c r="BS19" s="15">
        <v>640</v>
      </c>
      <c r="BT19" s="15">
        <v>816</v>
      </c>
      <c r="BU19" s="15">
        <v>102</v>
      </c>
      <c r="BV19" s="37" t="str">
        <f t="shared" si="20"/>
        <v>640/816</v>
      </c>
      <c r="BW19" s="37" t="str">
        <f t="shared" si="21"/>
        <v>80/102</v>
      </c>
      <c r="BZ19" s="15"/>
      <c r="CA19" s="15"/>
      <c r="CB19" s="15"/>
      <c r="CC19" s="37"/>
      <c r="CD19" s="37"/>
      <c r="CF19" s="10">
        <v>16</v>
      </c>
      <c r="CG19" s="15">
        <v>539</v>
      </c>
      <c r="CH19" s="15">
        <v>833</v>
      </c>
      <c r="CI19" s="15" t="str">
        <f t="shared" si="24"/>
        <v>11*7*7*1</v>
      </c>
      <c r="CJ19" s="15" t="str">
        <f t="shared" si="25"/>
        <v>17*7*7*1</v>
      </c>
      <c r="CK19" s="51">
        <v>11</v>
      </c>
      <c r="CL19" s="51">
        <v>17</v>
      </c>
      <c r="CM19" s="15">
        <v>11</v>
      </c>
      <c r="CN19" s="15">
        <v>17</v>
      </c>
      <c r="CO19" s="36" t="str">
        <f t="shared" si="26"/>
        <v>11/17</v>
      </c>
      <c r="CQ19" s="10">
        <v>16</v>
      </c>
      <c r="CR19" s="15">
        <v>1727</v>
      </c>
      <c r="CS19" s="15">
        <v>1884</v>
      </c>
      <c r="CT19" s="15">
        <f t="shared" si="27"/>
        <v>157</v>
      </c>
      <c r="CU19" s="15">
        <f t="shared" si="28"/>
        <v>11</v>
      </c>
      <c r="CV19" s="15">
        <f t="shared" si="29"/>
        <v>12</v>
      </c>
      <c r="CW19" s="36" t="str">
        <f t="shared" si="30"/>
        <v>11/12</v>
      </c>
      <c r="CY19" s="10">
        <v>16</v>
      </c>
      <c r="DS19" s="86" t="s">
        <v>168</v>
      </c>
      <c r="DZ19" s="10">
        <v>16</v>
      </c>
      <c r="EA19" s="10">
        <v>1</v>
      </c>
      <c r="EB19" s="10">
        <v>3</v>
      </c>
      <c r="EC19" s="10">
        <v>1</v>
      </c>
      <c r="ED19" s="10">
        <v>4</v>
      </c>
      <c r="EI19" s="10">
        <f t="shared" si="33"/>
        <v>12</v>
      </c>
      <c r="EJ19" s="10">
        <f t="shared" si="34"/>
        <v>4</v>
      </c>
      <c r="EK19" s="10">
        <f t="shared" si="35"/>
        <v>3</v>
      </c>
      <c r="EN19" s="10" t="str">
        <f t="shared" si="36"/>
        <v>4/12</v>
      </c>
      <c r="EO19" s="10" t="str">
        <f t="shared" si="37"/>
        <v>3/12</v>
      </c>
      <c r="ES19" s="10">
        <v>16</v>
      </c>
      <c r="ET19" s="10">
        <v>2</v>
      </c>
      <c r="EU19" s="10">
        <v>13</v>
      </c>
      <c r="EV19" s="10">
        <v>3</v>
      </c>
      <c r="EW19" s="10">
        <v>21</v>
      </c>
      <c r="EX19" s="10">
        <v>5</v>
      </c>
      <c r="EY19" s="10">
        <v>25</v>
      </c>
      <c r="EZ19" s="10">
        <v>3</v>
      </c>
      <c r="FA19" s="10">
        <v>169</v>
      </c>
      <c r="FB19" s="10">
        <f t="shared" si="38"/>
        <v>88725</v>
      </c>
      <c r="FC19" s="10">
        <f t="shared" si="39"/>
        <v>13650</v>
      </c>
      <c r="FD19" s="10">
        <f t="shared" si="40"/>
        <v>12675</v>
      </c>
      <c r="FE19" s="10">
        <f t="shared" si="43"/>
        <v>17745</v>
      </c>
      <c r="FF19" s="10">
        <f t="shared" si="47"/>
        <v>1575</v>
      </c>
      <c r="FG19" s="10" t="str">
        <f t="shared" si="41"/>
        <v>13650/88725</v>
      </c>
      <c r="FH19" s="10" t="str">
        <f t="shared" si="42"/>
        <v>12675/88725</v>
      </c>
      <c r="FI19" s="10" t="str">
        <f t="shared" si="46"/>
        <v>17745/88725</v>
      </c>
      <c r="FJ19" s="10" t="str">
        <f t="shared" si="48"/>
        <v>1575/88725</v>
      </c>
    </row>
    <row r="20" spans="1:166">
      <c r="A20" s="10">
        <v>17</v>
      </c>
      <c r="B20" s="10">
        <v>12</v>
      </c>
      <c r="C20" s="10">
        <v>3</v>
      </c>
      <c r="D20" s="10">
        <v>4</v>
      </c>
      <c r="E20" s="82">
        <f t="shared" si="1"/>
        <v>12.75</v>
      </c>
      <c r="F20" s="36" t="str">
        <f t="shared" si="2"/>
        <v>51/4</v>
      </c>
      <c r="H20" s="10">
        <v>17</v>
      </c>
      <c r="I20" s="10">
        <v>90</v>
      </c>
      <c r="J20" s="10">
        <v>19</v>
      </c>
      <c r="K20" s="10">
        <v>37</v>
      </c>
      <c r="L20" s="20">
        <f t="shared" si="3"/>
        <v>90.513513513513516</v>
      </c>
      <c r="M20" s="36" t="str">
        <f t="shared" si="4"/>
        <v>3349/37</v>
      </c>
      <c r="O20" s="10">
        <v>17</v>
      </c>
      <c r="P20" s="10">
        <v>95</v>
      </c>
      <c r="Q20" s="10">
        <v>18</v>
      </c>
      <c r="R20" s="37" t="str">
        <f t="shared" si="5"/>
        <v>95/18</v>
      </c>
      <c r="S20" s="18">
        <f t="shared" si="6"/>
        <v>5</v>
      </c>
      <c r="U20" s="10">
        <v>17</v>
      </c>
      <c r="V20" s="15">
        <v>8632</v>
      </c>
      <c r="W20" s="15">
        <v>1115</v>
      </c>
      <c r="X20" s="37" t="str">
        <f t="shared" si="7"/>
        <v>8632/1115</v>
      </c>
      <c r="Y20" s="18">
        <f t="shared" si="8"/>
        <v>7</v>
      </c>
      <c r="AA20" s="10">
        <v>17</v>
      </c>
      <c r="AB20" s="15">
        <v>20</v>
      </c>
      <c r="AC20" s="15">
        <v>4</v>
      </c>
      <c r="AD20" s="37" t="str">
        <f t="shared" si="9"/>
        <v>80/4</v>
      </c>
      <c r="AF20" s="10">
        <v>17</v>
      </c>
      <c r="AG20" s="15">
        <v>1184</v>
      </c>
      <c r="AH20" s="15">
        <v>15</v>
      </c>
      <c r="AI20" s="37" t="str">
        <f t="shared" si="10"/>
        <v>17760/15</v>
      </c>
      <c r="AL20" s="15"/>
      <c r="AM20" s="15"/>
      <c r="AN20" s="37"/>
      <c r="AP20" s="10">
        <v>17</v>
      </c>
      <c r="AQ20" s="15">
        <v>2</v>
      </c>
      <c r="AR20" s="15">
        <v>16</v>
      </c>
      <c r="AS20" s="15">
        <v>45</v>
      </c>
      <c r="AT20" s="37" t="str">
        <f t="shared" si="12"/>
        <v>2/16</v>
      </c>
      <c r="AU20" s="37" t="str">
        <f t="shared" si="13"/>
        <v>6/45</v>
      </c>
      <c r="AW20" s="10">
        <v>17</v>
      </c>
      <c r="AX20" s="15">
        <v>3</v>
      </c>
      <c r="AY20" s="15">
        <v>13</v>
      </c>
      <c r="AZ20" s="15">
        <v>1690</v>
      </c>
      <c r="BA20" s="37" t="str">
        <f t="shared" si="14"/>
        <v>3/13</v>
      </c>
      <c r="BB20" s="37" t="str">
        <f t="shared" si="15"/>
        <v>390/1690</v>
      </c>
      <c r="BE20" s="15"/>
      <c r="BF20" s="15"/>
      <c r="BG20" s="15"/>
      <c r="BH20" s="37"/>
      <c r="BI20" s="37"/>
      <c r="BK20" s="10">
        <v>17</v>
      </c>
      <c r="BL20" s="15">
        <v>24</v>
      </c>
      <c r="BM20" s="15">
        <v>32</v>
      </c>
      <c r="BN20" s="15">
        <v>4</v>
      </c>
      <c r="BO20" s="37" t="str">
        <f t="shared" si="18"/>
        <v>24/32</v>
      </c>
      <c r="BP20" s="37" t="str">
        <f t="shared" si="19"/>
        <v>3/4</v>
      </c>
      <c r="BR20" s="10">
        <v>17</v>
      </c>
      <c r="BS20" s="15">
        <v>999</v>
      </c>
      <c r="BT20" s="15">
        <v>1179</v>
      </c>
      <c r="BU20" s="15">
        <v>131</v>
      </c>
      <c r="BV20" s="37" t="str">
        <f t="shared" si="20"/>
        <v>999/1179</v>
      </c>
      <c r="BW20" s="37" t="str">
        <f t="shared" si="21"/>
        <v>111/131</v>
      </c>
      <c r="BZ20" s="15"/>
      <c r="CA20" s="15"/>
      <c r="CB20" s="15"/>
      <c r="CC20" s="37"/>
      <c r="CD20" s="37"/>
      <c r="CF20" s="10">
        <v>17</v>
      </c>
      <c r="CG20" s="15">
        <v>260</v>
      </c>
      <c r="CH20" s="15">
        <v>286</v>
      </c>
      <c r="CI20" s="15" t="str">
        <f t="shared" si="24"/>
        <v>13*5*2*2*1</v>
      </c>
      <c r="CJ20" s="15" t="str">
        <f t="shared" si="25"/>
        <v>13*11*2*1</v>
      </c>
      <c r="CK20" s="51" t="s">
        <v>138</v>
      </c>
      <c r="CL20" s="51">
        <v>11</v>
      </c>
      <c r="CM20" s="15">
        <f>5*2</f>
        <v>10</v>
      </c>
      <c r="CN20" s="15">
        <v>11</v>
      </c>
      <c r="CO20" s="36" t="str">
        <f t="shared" si="26"/>
        <v>10/11</v>
      </c>
      <c r="CQ20" s="10">
        <v>17</v>
      </c>
      <c r="CR20" s="15">
        <v>2006</v>
      </c>
      <c r="CS20" s="15">
        <v>7021</v>
      </c>
      <c r="CT20" s="15">
        <f t="shared" si="27"/>
        <v>1003</v>
      </c>
      <c r="CU20" s="15">
        <f t="shared" si="28"/>
        <v>2</v>
      </c>
      <c r="CV20" s="15">
        <f t="shared" si="29"/>
        <v>7</v>
      </c>
      <c r="CW20" s="36" t="str">
        <f t="shared" si="30"/>
        <v>2/7</v>
      </c>
      <c r="CY20" s="10">
        <v>17</v>
      </c>
      <c r="DZ20" s="10">
        <v>17</v>
      </c>
      <c r="EA20" s="10">
        <v>3</v>
      </c>
      <c r="EB20" s="10">
        <v>4</v>
      </c>
      <c r="EC20" s="10">
        <v>1</v>
      </c>
      <c r="ED20" s="10">
        <v>10</v>
      </c>
      <c r="EI20" s="10">
        <f t="shared" si="33"/>
        <v>20</v>
      </c>
      <c r="EJ20" s="10">
        <f t="shared" si="34"/>
        <v>15</v>
      </c>
      <c r="EK20" s="10">
        <f t="shared" si="35"/>
        <v>2</v>
      </c>
      <c r="EN20" s="10" t="str">
        <f t="shared" si="36"/>
        <v>15/20</v>
      </c>
      <c r="EO20" s="10" t="str">
        <f t="shared" si="37"/>
        <v>2/20</v>
      </c>
    </row>
    <row r="21" spans="1:166">
      <c r="A21" s="10">
        <v>18</v>
      </c>
      <c r="B21" s="10">
        <v>15</v>
      </c>
      <c r="C21" s="10">
        <v>2</v>
      </c>
      <c r="D21" s="10">
        <v>3</v>
      </c>
      <c r="E21" s="82">
        <f t="shared" si="1"/>
        <v>15.666666666666666</v>
      </c>
      <c r="F21" s="36" t="str">
        <f t="shared" si="2"/>
        <v>47/3</v>
      </c>
      <c r="H21" s="10">
        <v>18</v>
      </c>
      <c r="I21" s="10">
        <v>101</v>
      </c>
      <c r="J21" s="10">
        <v>13</v>
      </c>
      <c r="K21" s="10">
        <v>18</v>
      </c>
      <c r="L21" s="20">
        <f t="shared" si="3"/>
        <v>101.72222222222223</v>
      </c>
      <c r="M21" s="36" t="str">
        <f t="shared" si="4"/>
        <v>1831/18</v>
      </c>
      <c r="O21" s="10">
        <v>18</v>
      </c>
      <c r="P21" s="10">
        <v>100</v>
      </c>
      <c r="Q21" s="10">
        <v>11</v>
      </c>
      <c r="R21" s="37" t="str">
        <f t="shared" si="5"/>
        <v>100/11</v>
      </c>
      <c r="S21" s="18">
        <f t="shared" si="6"/>
        <v>9</v>
      </c>
      <c r="U21" s="10">
        <v>18</v>
      </c>
      <c r="V21" s="15">
        <v>9732</v>
      </c>
      <c r="W21" s="15">
        <v>2164</v>
      </c>
      <c r="X21" s="37" t="str">
        <f t="shared" si="7"/>
        <v>9732/2164</v>
      </c>
      <c r="Y21" s="18">
        <f t="shared" si="8"/>
        <v>4</v>
      </c>
      <c r="AA21" s="10">
        <v>18</v>
      </c>
      <c r="AB21" s="15">
        <v>25</v>
      </c>
      <c r="AC21" s="15">
        <v>5</v>
      </c>
      <c r="AD21" s="37" t="str">
        <f t="shared" si="9"/>
        <v>125/5</v>
      </c>
      <c r="AF21" s="10">
        <v>18</v>
      </c>
      <c r="AG21" s="15">
        <v>2134</v>
      </c>
      <c r="AH21" s="15">
        <v>17</v>
      </c>
      <c r="AI21" s="37" t="str">
        <f t="shared" si="10"/>
        <v>36278/17</v>
      </c>
      <c r="AL21" s="15"/>
      <c r="AM21" s="15"/>
      <c r="AN21" s="37"/>
      <c r="AP21" s="10">
        <v>18</v>
      </c>
      <c r="AQ21" s="15">
        <v>7</v>
      </c>
      <c r="AR21" s="15">
        <v>16</v>
      </c>
      <c r="AS21" s="15">
        <v>80</v>
      </c>
      <c r="AT21" s="37" t="str">
        <f t="shared" si="12"/>
        <v>7/16</v>
      </c>
      <c r="AU21" s="37" t="str">
        <f t="shared" si="13"/>
        <v>35/80</v>
      </c>
      <c r="AW21" s="10">
        <v>18</v>
      </c>
      <c r="AX21" s="15">
        <v>5</v>
      </c>
      <c r="AY21" s="15">
        <v>23</v>
      </c>
      <c r="AZ21" s="15">
        <v>5290</v>
      </c>
      <c r="BA21" s="37" t="str">
        <f t="shared" si="14"/>
        <v>5/23</v>
      </c>
      <c r="BB21" s="37" t="str">
        <f t="shared" si="15"/>
        <v>1150/5290</v>
      </c>
      <c r="BE21" s="15"/>
      <c r="BF21" s="15"/>
      <c r="BG21" s="15"/>
      <c r="BH21" s="37"/>
      <c r="BI21" s="37"/>
      <c r="BK21" s="10">
        <v>18</v>
      </c>
      <c r="BL21" s="15">
        <v>12</v>
      </c>
      <c r="BM21" s="15">
        <v>33</v>
      </c>
      <c r="BN21" s="15">
        <v>11</v>
      </c>
      <c r="BO21" s="37" t="str">
        <f t="shared" si="18"/>
        <v>12/33</v>
      </c>
      <c r="BP21" s="37" t="str">
        <f t="shared" si="19"/>
        <v>4/11</v>
      </c>
      <c r="BR21" s="10">
        <v>18</v>
      </c>
      <c r="BS21" s="15">
        <v>343</v>
      </c>
      <c r="BT21" s="15">
        <v>1771</v>
      </c>
      <c r="BU21" s="15">
        <v>253</v>
      </c>
      <c r="BV21" s="37" t="str">
        <f t="shared" si="20"/>
        <v>343/1771</v>
      </c>
      <c r="BW21" s="37" t="str">
        <f t="shared" si="21"/>
        <v>49/253</v>
      </c>
      <c r="BZ21" s="15"/>
      <c r="CA21" s="15"/>
      <c r="CB21" s="15"/>
      <c r="CC21" s="37"/>
      <c r="CD21" s="37"/>
      <c r="CF21" s="10">
        <v>18</v>
      </c>
      <c r="CG21" s="15">
        <v>2004</v>
      </c>
      <c r="CH21" s="15">
        <v>3006</v>
      </c>
      <c r="CI21" s="15" t="str">
        <f t="shared" si="24"/>
        <v>167*3*2*2*1</v>
      </c>
      <c r="CJ21" s="15" t="str">
        <f t="shared" si="25"/>
        <v>167*3*3*2*1</v>
      </c>
      <c r="CK21" s="51">
        <v>2</v>
      </c>
      <c r="CL21" s="51">
        <v>3</v>
      </c>
      <c r="CM21" s="15">
        <v>2</v>
      </c>
      <c r="CN21" s="15">
        <v>3</v>
      </c>
      <c r="CO21" s="36" t="str">
        <f t="shared" si="26"/>
        <v>2/3</v>
      </c>
      <c r="CQ21" s="10">
        <v>18</v>
      </c>
      <c r="CR21" s="15">
        <v>4359</v>
      </c>
      <c r="CS21" s="15">
        <v>11624</v>
      </c>
      <c r="CT21" s="15">
        <f t="shared" si="27"/>
        <v>1453</v>
      </c>
      <c r="CU21" s="15">
        <f t="shared" si="28"/>
        <v>3</v>
      </c>
      <c r="CV21" s="15">
        <f t="shared" si="29"/>
        <v>8</v>
      </c>
      <c r="CW21" s="36" t="str">
        <f t="shared" si="30"/>
        <v>3/8</v>
      </c>
      <c r="CY21" s="10">
        <v>18</v>
      </c>
      <c r="DZ21" s="10">
        <v>18</v>
      </c>
      <c r="EA21" s="10">
        <v>7</v>
      </c>
      <c r="EB21" s="10">
        <v>10</v>
      </c>
      <c r="EC21" s="10">
        <v>4</v>
      </c>
      <c r="ED21" s="10">
        <v>15</v>
      </c>
      <c r="EI21" s="10">
        <f t="shared" si="33"/>
        <v>30</v>
      </c>
      <c r="EJ21" s="10">
        <f t="shared" si="34"/>
        <v>21</v>
      </c>
      <c r="EK21" s="10">
        <f t="shared" si="35"/>
        <v>8</v>
      </c>
      <c r="EN21" s="10" t="str">
        <f t="shared" si="36"/>
        <v>21/30</v>
      </c>
      <c r="EO21" s="10" t="str">
        <f t="shared" si="37"/>
        <v>8/30</v>
      </c>
    </row>
    <row r="22" spans="1:166">
      <c r="A22" s="10">
        <v>19</v>
      </c>
      <c r="B22" s="10">
        <v>16</v>
      </c>
      <c r="C22" s="10">
        <v>1</v>
      </c>
      <c r="D22" s="10">
        <v>4</v>
      </c>
      <c r="E22" s="82">
        <f t="shared" si="1"/>
        <v>16.25</v>
      </c>
      <c r="F22" s="36" t="str">
        <f t="shared" si="2"/>
        <v>65/4</v>
      </c>
      <c r="H22" s="10">
        <v>19</v>
      </c>
      <c r="I22" s="10">
        <v>102</v>
      </c>
      <c r="J22" s="10">
        <v>15</v>
      </c>
      <c r="K22" s="10">
        <v>17</v>
      </c>
      <c r="L22" s="20">
        <f t="shared" si="3"/>
        <v>102.88235294117646</v>
      </c>
      <c r="M22" s="36" t="str">
        <f t="shared" si="4"/>
        <v>1749/17</v>
      </c>
      <c r="O22" s="10">
        <v>19</v>
      </c>
      <c r="P22" s="10">
        <v>102</v>
      </c>
      <c r="Q22" s="10">
        <v>19</v>
      </c>
      <c r="R22" s="37" t="str">
        <f t="shared" si="5"/>
        <v>102/19</v>
      </c>
      <c r="S22" s="18">
        <f t="shared" si="6"/>
        <v>5</v>
      </c>
      <c r="U22" s="10">
        <v>19</v>
      </c>
      <c r="V22" s="15">
        <v>12485</v>
      </c>
      <c r="W22" s="15">
        <v>3284</v>
      </c>
      <c r="X22" s="37" t="str">
        <f t="shared" si="7"/>
        <v>12485/3284</v>
      </c>
      <c r="Y22" s="18">
        <f t="shared" si="8"/>
        <v>3</v>
      </c>
      <c r="AA22" s="10">
        <v>19</v>
      </c>
      <c r="AB22" s="15">
        <v>30</v>
      </c>
      <c r="AC22" s="15">
        <v>9</v>
      </c>
      <c r="AD22" s="37" t="str">
        <f t="shared" si="9"/>
        <v>270/9</v>
      </c>
      <c r="AF22" s="10">
        <v>19</v>
      </c>
      <c r="AG22" s="15">
        <v>3216</v>
      </c>
      <c r="AH22" s="15">
        <v>40</v>
      </c>
      <c r="AI22" s="37" t="str">
        <f t="shared" si="10"/>
        <v>128640/40</v>
      </c>
      <c r="AL22" s="15"/>
      <c r="AM22" s="15"/>
      <c r="AN22" s="37"/>
      <c r="AP22" s="10">
        <v>19</v>
      </c>
      <c r="AQ22" s="15">
        <v>11</v>
      </c>
      <c r="AR22" s="15">
        <v>20</v>
      </c>
      <c r="AS22" s="15">
        <v>100</v>
      </c>
      <c r="AT22" s="37" t="str">
        <f t="shared" si="12"/>
        <v>11/20</v>
      </c>
      <c r="AU22" s="37" t="str">
        <f t="shared" si="13"/>
        <v>55/100</v>
      </c>
      <c r="AW22" s="10">
        <v>19</v>
      </c>
      <c r="AX22" s="15">
        <v>7</v>
      </c>
      <c r="AY22" s="15">
        <v>29</v>
      </c>
      <c r="AZ22" s="15">
        <v>841</v>
      </c>
      <c r="BA22" s="37" t="str">
        <f t="shared" si="14"/>
        <v>7/29</v>
      </c>
      <c r="BB22" s="37" t="str">
        <f t="shared" si="15"/>
        <v>203/841</v>
      </c>
      <c r="BE22" s="15"/>
      <c r="BF22" s="15"/>
      <c r="BG22" s="15"/>
      <c r="BH22" s="37"/>
      <c r="BI22" s="37"/>
      <c r="BK22" s="10">
        <v>19</v>
      </c>
      <c r="BL22" s="15">
        <v>20</v>
      </c>
      <c r="BM22" s="15">
        <v>34</v>
      </c>
      <c r="BN22" s="15">
        <v>17</v>
      </c>
      <c r="BO22" s="37" t="str">
        <f t="shared" si="18"/>
        <v>20/34</v>
      </c>
      <c r="BP22" s="37" t="str">
        <f t="shared" si="19"/>
        <v>10/17</v>
      </c>
      <c r="BR22" s="10">
        <v>19</v>
      </c>
      <c r="BS22" s="15">
        <v>192</v>
      </c>
      <c r="BT22" s="15">
        <v>4488</v>
      </c>
      <c r="BU22" s="15">
        <v>561</v>
      </c>
      <c r="BV22" s="37" t="str">
        <f t="shared" si="20"/>
        <v>192/4488</v>
      </c>
      <c r="BW22" s="37" t="str">
        <f t="shared" si="21"/>
        <v>24/561</v>
      </c>
      <c r="BZ22" s="15"/>
      <c r="CA22" s="15"/>
      <c r="CB22" s="15"/>
      <c r="CC22" s="37"/>
      <c r="CD22" s="37"/>
      <c r="CF22" s="10">
        <v>19</v>
      </c>
      <c r="CG22" s="15">
        <v>1955</v>
      </c>
      <c r="CH22" s="15">
        <v>3910</v>
      </c>
      <c r="CI22" s="15" t="str">
        <f t="shared" si="24"/>
        <v>23*17*5*1</v>
      </c>
      <c r="CJ22" s="15" t="str">
        <f t="shared" si="25"/>
        <v>23*17*5*2*1</v>
      </c>
      <c r="CK22" s="51">
        <v>1</v>
      </c>
      <c r="CL22" s="51">
        <v>2</v>
      </c>
      <c r="CM22" s="15">
        <v>1</v>
      </c>
      <c r="CN22" s="15">
        <v>2</v>
      </c>
      <c r="CO22" s="36" t="str">
        <f t="shared" si="26"/>
        <v>1/2</v>
      </c>
      <c r="CQ22" s="10">
        <v>19</v>
      </c>
      <c r="CR22" s="15">
        <v>7075</v>
      </c>
      <c r="CS22" s="15">
        <v>11320</v>
      </c>
      <c r="CT22" s="15">
        <f t="shared" si="27"/>
        <v>1415</v>
      </c>
      <c r="CU22" s="15">
        <f t="shared" si="28"/>
        <v>5</v>
      </c>
      <c r="CV22" s="15">
        <f t="shared" si="29"/>
        <v>8</v>
      </c>
      <c r="CW22" s="36" t="str">
        <f t="shared" si="30"/>
        <v>5/8</v>
      </c>
      <c r="CY22" s="10">
        <v>19</v>
      </c>
      <c r="DZ22" s="10">
        <v>19</v>
      </c>
      <c r="EA22" s="10">
        <v>1</v>
      </c>
      <c r="EB22" s="10">
        <v>6</v>
      </c>
      <c r="EC22" s="10">
        <v>1</v>
      </c>
      <c r="ED22" s="10">
        <v>9</v>
      </c>
      <c r="EI22" s="10">
        <f t="shared" si="33"/>
        <v>18</v>
      </c>
      <c r="EJ22" s="10">
        <f t="shared" si="34"/>
        <v>3</v>
      </c>
      <c r="EK22" s="10">
        <f t="shared" si="35"/>
        <v>2</v>
      </c>
      <c r="EN22" s="10" t="str">
        <f t="shared" si="36"/>
        <v>3/18</v>
      </c>
      <c r="EO22" s="10" t="str">
        <f t="shared" si="37"/>
        <v>2/18</v>
      </c>
    </row>
    <row r="23" spans="1:166">
      <c r="A23" s="10">
        <v>20</v>
      </c>
      <c r="B23" s="10">
        <v>18</v>
      </c>
      <c r="C23" s="10">
        <v>2</v>
      </c>
      <c r="D23" s="10">
        <v>3</v>
      </c>
      <c r="E23" s="82">
        <f t="shared" si="1"/>
        <v>18.666666666666668</v>
      </c>
      <c r="F23" s="36" t="str">
        <f t="shared" si="2"/>
        <v>56/3</v>
      </c>
      <c r="H23" s="10">
        <v>20</v>
      </c>
      <c r="I23" s="10">
        <v>500</v>
      </c>
      <c r="J23" s="10">
        <v>8</v>
      </c>
      <c r="K23" s="10">
        <v>67</v>
      </c>
      <c r="L23" s="20">
        <f t="shared" si="3"/>
        <v>500.1194029850746</v>
      </c>
      <c r="M23" s="36" t="str">
        <f t="shared" si="4"/>
        <v>33508/67</v>
      </c>
      <c r="O23" s="10">
        <v>20</v>
      </c>
      <c r="P23" s="10">
        <v>112</v>
      </c>
      <c r="Q23" s="10">
        <v>11</v>
      </c>
      <c r="R23" s="37" t="str">
        <f t="shared" si="5"/>
        <v>112/11</v>
      </c>
      <c r="S23" s="18">
        <f t="shared" si="6"/>
        <v>10</v>
      </c>
      <c r="U23" s="10">
        <v>20</v>
      </c>
      <c r="V23" s="15">
        <v>34136</v>
      </c>
      <c r="W23" s="15">
        <v>7432</v>
      </c>
      <c r="X23" s="37" t="str">
        <f t="shared" si="7"/>
        <v>34136/7432</v>
      </c>
      <c r="Y23" s="18">
        <f t="shared" si="8"/>
        <v>4</v>
      </c>
      <c r="AA23" s="10">
        <v>20</v>
      </c>
      <c r="AB23" s="15">
        <v>36</v>
      </c>
      <c r="AC23" s="15">
        <v>3</v>
      </c>
      <c r="AD23" s="37" t="str">
        <f t="shared" si="9"/>
        <v>108/3</v>
      </c>
      <c r="AF23" s="10">
        <v>20</v>
      </c>
      <c r="AG23" s="15">
        <v>5217</v>
      </c>
      <c r="AH23" s="15">
        <v>32</v>
      </c>
      <c r="AI23" s="37" t="str">
        <f t="shared" si="10"/>
        <v>166944/32</v>
      </c>
      <c r="AL23" s="15"/>
      <c r="AM23" s="15"/>
      <c r="AN23" s="37"/>
      <c r="AP23" s="10">
        <v>20</v>
      </c>
      <c r="AQ23" s="15">
        <v>13</v>
      </c>
      <c r="AR23" s="15">
        <v>30</v>
      </c>
      <c r="AS23" s="15">
        <v>180</v>
      </c>
      <c r="AT23" s="37" t="str">
        <f t="shared" si="12"/>
        <v>13/30</v>
      </c>
      <c r="AU23" s="37" t="str">
        <f t="shared" si="13"/>
        <v>78/180</v>
      </c>
      <c r="AW23" s="10">
        <v>20</v>
      </c>
      <c r="AX23" s="15">
        <v>11</v>
      </c>
      <c r="AY23" s="15">
        <v>31</v>
      </c>
      <c r="AZ23" s="15">
        <v>9610</v>
      </c>
      <c r="BA23" s="37" t="str">
        <f t="shared" si="14"/>
        <v>11/31</v>
      </c>
      <c r="BB23" s="37" t="str">
        <f t="shared" si="15"/>
        <v>3410/9610</v>
      </c>
      <c r="BE23" s="15"/>
      <c r="BF23" s="15"/>
      <c r="BG23" s="15"/>
      <c r="BH23" s="37"/>
      <c r="BI23" s="37"/>
      <c r="BK23" s="10">
        <v>20</v>
      </c>
      <c r="BL23" s="15">
        <v>30</v>
      </c>
      <c r="BM23" s="15">
        <v>60</v>
      </c>
      <c r="BN23" s="15">
        <v>2</v>
      </c>
      <c r="BO23" s="37" t="str">
        <f t="shared" si="18"/>
        <v>30/60</v>
      </c>
      <c r="BP23" s="37" t="str">
        <f t="shared" si="19"/>
        <v>1/2</v>
      </c>
      <c r="BR23" s="10">
        <v>20</v>
      </c>
      <c r="BS23" s="15">
        <v>490</v>
      </c>
      <c r="BT23" s="15">
        <v>7007</v>
      </c>
      <c r="BU23" s="15">
        <v>1001</v>
      </c>
      <c r="BV23" s="37" t="str">
        <f t="shared" si="20"/>
        <v>490/7007</v>
      </c>
      <c r="BW23" s="37" t="str">
        <f t="shared" si="21"/>
        <v>70/1001</v>
      </c>
      <c r="BZ23" s="15"/>
      <c r="CA23" s="15"/>
      <c r="CB23" s="15"/>
      <c r="CC23" s="37"/>
      <c r="CD23" s="37"/>
      <c r="CF23" s="10">
        <v>20</v>
      </c>
      <c r="CG23" s="15">
        <v>286</v>
      </c>
      <c r="CH23" s="15">
        <v>1859</v>
      </c>
      <c r="CI23" s="15" t="str">
        <f t="shared" si="24"/>
        <v>13*11*2*1</v>
      </c>
      <c r="CJ23" s="15" t="str">
        <f t="shared" si="25"/>
        <v>13*13*11*1</v>
      </c>
      <c r="CK23" s="51">
        <v>2</v>
      </c>
      <c r="CL23" s="51">
        <v>13</v>
      </c>
      <c r="CM23" s="15">
        <v>2</v>
      </c>
      <c r="CN23" s="15">
        <v>13</v>
      </c>
      <c r="CO23" s="36" t="str">
        <f t="shared" si="26"/>
        <v>2/13</v>
      </c>
      <c r="CQ23" s="10">
        <v>20</v>
      </c>
      <c r="CR23" s="15">
        <v>2138</v>
      </c>
      <c r="CS23" s="15">
        <v>19242</v>
      </c>
      <c r="CT23" s="15">
        <f t="shared" si="27"/>
        <v>2138</v>
      </c>
      <c r="CU23" s="15">
        <f t="shared" si="28"/>
        <v>1</v>
      </c>
      <c r="CV23" s="15">
        <f t="shared" si="29"/>
        <v>9</v>
      </c>
      <c r="CW23" s="36" t="str">
        <f t="shared" si="30"/>
        <v>1/9</v>
      </c>
      <c r="CY23" s="10">
        <v>20</v>
      </c>
      <c r="DZ23" s="10">
        <v>20</v>
      </c>
      <c r="EA23" s="10">
        <v>5</v>
      </c>
      <c r="EB23" s="10">
        <v>8</v>
      </c>
      <c r="EC23" s="10">
        <v>11</v>
      </c>
      <c r="ED23" s="10">
        <v>12</v>
      </c>
      <c r="EI23" s="10">
        <f t="shared" si="33"/>
        <v>24</v>
      </c>
      <c r="EJ23" s="10">
        <f t="shared" si="34"/>
        <v>15</v>
      </c>
      <c r="EK23" s="10">
        <f t="shared" si="35"/>
        <v>22</v>
      </c>
      <c r="EN23" s="10" t="str">
        <f t="shared" si="36"/>
        <v>15/24</v>
      </c>
      <c r="EO23" s="10" t="str">
        <f t="shared" si="37"/>
        <v>22/24</v>
      </c>
    </row>
    <row r="24" spans="1:166" ht="18">
      <c r="E24" s="55"/>
      <c r="F24" s="36"/>
      <c r="U24" s="10">
        <v>21</v>
      </c>
      <c r="V24" s="15">
        <v>54137</v>
      </c>
      <c r="W24" s="15">
        <v>189</v>
      </c>
      <c r="X24" s="37" t="str">
        <f t="shared" si="7"/>
        <v>54137/189</v>
      </c>
      <c r="Y24" s="18">
        <f t="shared" si="8"/>
        <v>286</v>
      </c>
      <c r="CF24" s="10">
        <v>21</v>
      </c>
      <c r="CG24" s="15">
        <v>1470</v>
      </c>
      <c r="CH24" s="15">
        <v>4200</v>
      </c>
      <c r="CI24" s="15" t="str">
        <f t="shared" si="24"/>
        <v>7*7*5*3*2*1</v>
      </c>
      <c r="CJ24" s="15" t="str">
        <f t="shared" si="25"/>
        <v>7*5*5*3*2*2*2*1</v>
      </c>
      <c r="CK24" s="51">
        <v>7</v>
      </c>
      <c r="CL24" s="51" t="s">
        <v>139</v>
      </c>
      <c r="CM24" s="15">
        <v>7</v>
      </c>
      <c r="CN24" s="15">
        <f>5*2^2</f>
        <v>20</v>
      </c>
      <c r="CO24" s="36" t="str">
        <f t="shared" si="26"/>
        <v>7/20</v>
      </c>
      <c r="CQ24" s="10">
        <v>21</v>
      </c>
      <c r="CR24" s="15">
        <v>2401</v>
      </c>
      <c r="CS24" s="15">
        <v>19208</v>
      </c>
      <c r="CT24" s="15">
        <f t="shared" si="27"/>
        <v>2401</v>
      </c>
      <c r="CU24" s="15">
        <f t="shared" si="28"/>
        <v>1</v>
      </c>
      <c r="CV24" s="15">
        <f t="shared" si="29"/>
        <v>8</v>
      </c>
      <c r="CW24" s="36" t="str">
        <f t="shared" si="30"/>
        <v>1/8</v>
      </c>
      <c r="CY24" s="10">
        <v>21</v>
      </c>
    </row>
    <row r="25" spans="1:166">
      <c r="U25" s="10">
        <v>22</v>
      </c>
      <c r="V25" s="15">
        <v>60185</v>
      </c>
      <c r="W25" s="15">
        <v>419</v>
      </c>
      <c r="X25" s="37" t="str">
        <f t="shared" si="7"/>
        <v>60185/419</v>
      </c>
      <c r="Y25" s="18">
        <f t="shared" si="8"/>
        <v>143</v>
      </c>
      <c r="CF25" s="10">
        <v>22</v>
      </c>
      <c r="CG25" s="15">
        <v>7854</v>
      </c>
      <c r="CH25" s="15">
        <v>9922</v>
      </c>
      <c r="CI25" s="15" t="str">
        <f t="shared" si="24"/>
        <v>17*11*7*3*2*1</v>
      </c>
      <c r="CJ25" s="15" t="str">
        <f t="shared" si="25"/>
        <v>41*11*11*2*1</v>
      </c>
      <c r="CK25" s="51" t="s">
        <v>140</v>
      </c>
      <c r="CL25" s="51" t="s">
        <v>141</v>
      </c>
      <c r="CM25" s="15">
        <f>17*7*3</f>
        <v>357</v>
      </c>
      <c r="CN25" s="15">
        <f>41*11</f>
        <v>451</v>
      </c>
      <c r="CO25" s="36" t="str">
        <f t="shared" si="26"/>
        <v>357/451</v>
      </c>
      <c r="CQ25" s="10">
        <v>22</v>
      </c>
      <c r="CR25" s="15">
        <v>12460</v>
      </c>
      <c r="CS25" s="15">
        <v>21805</v>
      </c>
      <c r="CT25" s="15">
        <f t="shared" si="27"/>
        <v>3115</v>
      </c>
      <c r="CU25" s="15">
        <f t="shared" si="28"/>
        <v>4</v>
      </c>
      <c r="CV25" s="15">
        <f t="shared" si="29"/>
        <v>7</v>
      </c>
      <c r="CW25" s="36" t="str">
        <f t="shared" si="30"/>
        <v>4/7</v>
      </c>
      <c r="CY25" s="10">
        <v>22</v>
      </c>
    </row>
    <row r="26" spans="1:166">
      <c r="U26" s="10">
        <v>23</v>
      </c>
      <c r="V26" s="15">
        <v>89356</v>
      </c>
      <c r="W26" s="15">
        <v>517</v>
      </c>
      <c r="X26" s="37" t="str">
        <f t="shared" si="7"/>
        <v>89356/517</v>
      </c>
      <c r="Y26" s="18">
        <f t="shared" si="8"/>
        <v>172</v>
      </c>
      <c r="CF26" s="10">
        <v>23</v>
      </c>
      <c r="CG26" s="15">
        <v>4459</v>
      </c>
      <c r="CH26" s="15">
        <v>4802</v>
      </c>
      <c r="CI26" s="15" t="str">
        <f t="shared" si="24"/>
        <v>13*7*7*7*1</v>
      </c>
      <c r="CJ26" s="15" t="str">
        <f t="shared" si="25"/>
        <v>7*7*7*7*2*1</v>
      </c>
      <c r="CK26" s="51">
        <v>13</v>
      </c>
      <c r="CL26" s="51" t="s">
        <v>135</v>
      </c>
      <c r="CM26" s="15">
        <v>13</v>
      </c>
      <c r="CN26" s="15">
        <f>7*2</f>
        <v>14</v>
      </c>
      <c r="CO26" s="36" t="str">
        <f t="shared" si="26"/>
        <v>13/14</v>
      </c>
      <c r="CQ26" s="10">
        <v>23</v>
      </c>
      <c r="CR26" s="15">
        <v>8505</v>
      </c>
      <c r="CS26" s="15">
        <v>13365</v>
      </c>
      <c r="CT26" s="15">
        <f t="shared" si="27"/>
        <v>1215</v>
      </c>
      <c r="CU26" s="15">
        <f t="shared" si="28"/>
        <v>7</v>
      </c>
      <c r="CV26" s="15">
        <f t="shared" si="29"/>
        <v>11</v>
      </c>
      <c r="CW26" s="36" t="str">
        <f t="shared" si="30"/>
        <v>7/11</v>
      </c>
      <c r="CY26" s="10">
        <v>23</v>
      </c>
    </row>
    <row r="27" spans="1:166">
      <c r="A27" s="10">
        <v>1</v>
      </c>
      <c r="B27" s="18" t="s">
        <v>94</v>
      </c>
      <c r="U27" s="10">
        <v>24</v>
      </c>
      <c r="V27" s="15">
        <v>102102</v>
      </c>
      <c r="W27" s="15">
        <v>1111</v>
      </c>
      <c r="X27" s="37" t="str">
        <f t="shared" si="7"/>
        <v>102102/1111</v>
      </c>
      <c r="Y27" s="18">
        <f t="shared" si="8"/>
        <v>91</v>
      </c>
      <c r="CF27" s="10">
        <v>24</v>
      </c>
      <c r="CG27" s="15">
        <v>1798</v>
      </c>
      <c r="CH27" s="15">
        <v>4495</v>
      </c>
      <c r="CI27" s="15" t="str">
        <f t="shared" si="24"/>
        <v>31*29*2*1</v>
      </c>
      <c r="CJ27" s="15" t="str">
        <f t="shared" si="25"/>
        <v>31*29*5*1</v>
      </c>
      <c r="CK27" s="51">
        <v>2</v>
      </c>
      <c r="CL27" s="51">
        <v>5</v>
      </c>
      <c r="CM27" s="15">
        <v>2</v>
      </c>
      <c r="CN27" s="15">
        <v>5</v>
      </c>
      <c r="CO27" s="36" t="str">
        <f t="shared" si="26"/>
        <v>2/5</v>
      </c>
      <c r="CQ27" s="10">
        <v>24</v>
      </c>
      <c r="CR27" s="15">
        <v>16005</v>
      </c>
      <c r="CS27" s="15">
        <v>18139</v>
      </c>
      <c r="CT27" s="15">
        <f t="shared" si="27"/>
        <v>1067</v>
      </c>
      <c r="CU27" s="15">
        <f t="shared" si="28"/>
        <v>15</v>
      </c>
      <c r="CV27" s="15">
        <f t="shared" si="29"/>
        <v>17</v>
      </c>
      <c r="CW27" s="36" t="str">
        <f t="shared" si="30"/>
        <v>15/17</v>
      </c>
      <c r="CY27" s="10">
        <v>24</v>
      </c>
    </row>
    <row r="28" spans="1:166">
      <c r="A28" s="10">
        <v>2</v>
      </c>
      <c r="B28" s="18" t="s">
        <v>95</v>
      </c>
      <c r="U28" s="10">
        <v>25</v>
      </c>
      <c r="V28" s="15">
        <v>184236</v>
      </c>
      <c r="W28" s="15">
        <v>17189</v>
      </c>
      <c r="X28" s="37" t="str">
        <f t="shared" si="7"/>
        <v>184236/17189</v>
      </c>
      <c r="Y28" s="18">
        <f t="shared" si="8"/>
        <v>10</v>
      </c>
      <c r="CF28" s="10">
        <v>25</v>
      </c>
      <c r="CG28" s="15">
        <v>1690</v>
      </c>
      <c r="CH28" s="15">
        <v>3549</v>
      </c>
      <c r="CI28" s="15" t="str">
        <f t="shared" si="24"/>
        <v>13*13*5*2*1</v>
      </c>
      <c r="CJ28" s="15" t="str">
        <f t="shared" si="25"/>
        <v>13*13*7*3*1</v>
      </c>
      <c r="CK28" s="51" t="s">
        <v>138</v>
      </c>
      <c r="CL28" s="51" t="s">
        <v>142</v>
      </c>
      <c r="CM28" s="15">
        <f>5*2</f>
        <v>10</v>
      </c>
      <c r="CN28" s="15">
        <f>7*3</f>
        <v>21</v>
      </c>
      <c r="CO28" s="36" t="str">
        <f t="shared" si="26"/>
        <v>10/21</v>
      </c>
      <c r="CQ28" s="10">
        <v>25</v>
      </c>
      <c r="CR28" s="15">
        <v>32828</v>
      </c>
      <c r="CS28" s="15">
        <v>35092</v>
      </c>
      <c r="CT28" s="15">
        <f t="shared" si="27"/>
        <v>1132</v>
      </c>
      <c r="CU28" s="15">
        <f t="shared" si="28"/>
        <v>29</v>
      </c>
      <c r="CV28" s="15">
        <f t="shared" si="29"/>
        <v>31</v>
      </c>
      <c r="CW28" s="36" t="str">
        <f t="shared" si="30"/>
        <v>29/31</v>
      </c>
      <c r="CY28" s="10">
        <v>25</v>
      </c>
    </row>
    <row r="29" spans="1:166" ht="18">
      <c r="A29" s="10">
        <v>3</v>
      </c>
      <c r="B29" s="18" t="s">
        <v>96</v>
      </c>
      <c r="CF29" s="10">
        <v>26</v>
      </c>
      <c r="CG29" s="15">
        <v>2016</v>
      </c>
      <c r="CH29" s="15">
        <v>3584</v>
      </c>
      <c r="CI29" s="15" t="str">
        <f t="shared" si="24"/>
        <v>7*3*3*2*2*2*2*2*1</v>
      </c>
      <c r="CJ29" s="15" t="str">
        <f t="shared" si="25"/>
        <v>7*2*2*2*2*2*2*2*2*2*1</v>
      </c>
      <c r="CK29" s="51" t="s">
        <v>144</v>
      </c>
      <c r="CL29" s="51" t="s">
        <v>145</v>
      </c>
      <c r="CM29" s="15">
        <f>3^2</f>
        <v>9</v>
      </c>
      <c r="CN29" s="15">
        <f>2^4</f>
        <v>16</v>
      </c>
      <c r="CO29" s="36" t="str">
        <f t="shared" si="26"/>
        <v>9/16</v>
      </c>
      <c r="CQ29" s="10">
        <v>26</v>
      </c>
      <c r="CR29" s="15">
        <v>40620</v>
      </c>
      <c r="CS29" s="15">
        <v>69054</v>
      </c>
      <c r="CT29" s="15">
        <f t="shared" si="27"/>
        <v>4062</v>
      </c>
      <c r="CU29" s="15">
        <f t="shared" si="28"/>
        <v>10</v>
      </c>
      <c r="CV29" s="15">
        <f t="shared" si="29"/>
        <v>17</v>
      </c>
      <c r="CW29" s="36" t="str">
        <f t="shared" si="30"/>
        <v>10/17</v>
      </c>
      <c r="CY29" s="10">
        <v>26</v>
      </c>
    </row>
    <row r="30" spans="1:166">
      <c r="A30" s="10">
        <v>4</v>
      </c>
      <c r="B30" s="18" t="s">
        <v>97</v>
      </c>
      <c r="CF30" s="10">
        <v>27</v>
      </c>
      <c r="CG30" s="15">
        <v>1598</v>
      </c>
      <c r="CH30" s="15">
        <v>1786</v>
      </c>
      <c r="CI30" s="15" t="str">
        <f t="shared" si="24"/>
        <v>47*17*2*1</v>
      </c>
      <c r="CJ30" s="15" t="str">
        <f t="shared" si="25"/>
        <v>47*19*2*1</v>
      </c>
      <c r="CK30" s="51">
        <v>17</v>
      </c>
      <c r="CL30" s="51">
        <v>19</v>
      </c>
      <c r="CM30" s="15">
        <v>17</v>
      </c>
      <c r="CN30" s="15">
        <v>19</v>
      </c>
      <c r="CO30" s="36" t="str">
        <f t="shared" si="26"/>
        <v>17/19</v>
      </c>
      <c r="CQ30" s="10">
        <v>27</v>
      </c>
      <c r="CR30" s="15">
        <v>154508</v>
      </c>
      <c r="CS30" s="15">
        <v>170772</v>
      </c>
      <c r="CT30" s="15">
        <f t="shared" si="27"/>
        <v>8132</v>
      </c>
      <c r="CU30" s="15">
        <f t="shared" si="28"/>
        <v>19</v>
      </c>
      <c r="CV30" s="15">
        <f t="shared" si="29"/>
        <v>21</v>
      </c>
      <c r="CW30" s="36" t="str">
        <f t="shared" si="30"/>
        <v>19/21</v>
      </c>
      <c r="CY30" s="10">
        <v>27</v>
      </c>
    </row>
    <row r="31" spans="1:166">
      <c r="A31" s="10">
        <v>5</v>
      </c>
      <c r="B31" s="18" t="s">
        <v>98</v>
      </c>
      <c r="CF31" s="10">
        <v>28</v>
      </c>
      <c r="CG31" s="15">
        <v>4235</v>
      </c>
      <c r="CH31" s="15">
        <v>25410</v>
      </c>
      <c r="CI31" s="15" t="str">
        <f t="shared" si="24"/>
        <v>11*11*7*5*1</v>
      </c>
      <c r="CJ31" s="15" t="str">
        <f t="shared" si="25"/>
        <v>11*11*7*5*3*2*1</v>
      </c>
      <c r="CK31" s="51">
        <v>1</v>
      </c>
      <c r="CL31" s="51">
        <f>3*2</f>
        <v>6</v>
      </c>
      <c r="CM31" s="15">
        <v>1</v>
      </c>
      <c r="CN31" s="15">
        <f>3*2</f>
        <v>6</v>
      </c>
      <c r="CO31" s="36" t="str">
        <f t="shared" si="26"/>
        <v>1/6</v>
      </c>
      <c r="CQ31" s="10">
        <v>28</v>
      </c>
      <c r="CR31" s="15">
        <v>126014</v>
      </c>
      <c r="CS31" s="15">
        <v>162018</v>
      </c>
      <c r="CT31" s="15">
        <f t="shared" si="27"/>
        <v>18002</v>
      </c>
      <c r="CU31" s="15">
        <f t="shared" si="28"/>
        <v>7</v>
      </c>
      <c r="CV31" s="15">
        <f t="shared" si="29"/>
        <v>9</v>
      </c>
      <c r="CW31" s="36" t="str">
        <f t="shared" si="30"/>
        <v>7/9</v>
      </c>
      <c r="CY31" s="10">
        <v>28</v>
      </c>
    </row>
    <row r="32" spans="1:166">
      <c r="A32" s="10">
        <v>6</v>
      </c>
      <c r="B32" s="18" t="s">
        <v>99</v>
      </c>
      <c r="CF32" s="10">
        <v>29</v>
      </c>
      <c r="CG32" s="15">
        <v>1573</v>
      </c>
      <c r="CH32" s="15">
        <v>11011</v>
      </c>
      <c r="CI32" s="15" t="str">
        <f t="shared" si="24"/>
        <v>13*11*11*1</v>
      </c>
      <c r="CJ32" s="15" t="str">
        <f t="shared" si="25"/>
        <v>13*11*11*7*1</v>
      </c>
      <c r="CK32" s="51">
        <v>1</v>
      </c>
      <c r="CL32" s="51">
        <v>7</v>
      </c>
      <c r="CM32" s="15">
        <v>1</v>
      </c>
      <c r="CN32" s="15">
        <v>7</v>
      </c>
      <c r="CO32" s="36" t="str">
        <f t="shared" si="26"/>
        <v>1/7</v>
      </c>
      <c r="CQ32" s="10">
        <v>29</v>
      </c>
      <c r="CR32" s="15">
        <v>150025</v>
      </c>
      <c r="CS32" s="15">
        <v>210035</v>
      </c>
      <c r="CT32" s="15">
        <f t="shared" si="27"/>
        <v>30005</v>
      </c>
      <c r="CU32" s="15">
        <f t="shared" si="28"/>
        <v>5</v>
      </c>
      <c r="CV32" s="15">
        <f t="shared" si="29"/>
        <v>7</v>
      </c>
      <c r="CW32" s="36" t="str">
        <f t="shared" si="30"/>
        <v>5/7</v>
      </c>
      <c r="CY32" s="10">
        <v>29</v>
      </c>
    </row>
    <row r="33" spans="1:103" ht="18">
      <c r="A33" s="10">
        <v>7</v>
      </c>
      <c r="B33" s="18" t="s">
        <v>100</v>
      </c>
      <c r="CF33" s="10">
        <v>30</v>
      </c>
      <c r="CG33" s="15">
        <v>2535</v>
      </c>
      <c r="CH33" s="15">
        <v>20280</v>
      </c>
      <c r="CI33" s="15" t="str">
        <f t="shared" si="24"/>
        <v>13*13*5*3*1</v>
      </c>
      <c r="CJ33" s="15" t="str">
        <f t="shared" si="25"/>
        <v>13*13*5*3*2*2*2*1</v>
      </c>
      <c r="CK33" s="51">
        <v>1</v>
      </c>
      <c r="CL33" s="51" t="s">
        <v>146</v>
      </c>
      <c r="CM33" s="15">
        <v>1</v>
      </c>
      <c r="CN33" s="15">
        <f>2^3</f>
        <v>8</v>
      </c>
      <c r="CO33" s="36" t="str">
        <f t="shared" si="26"/>
        <v>1/8</v>
      </c>
      <c r="CQ33" s="10">
        <v>30</v>
      </c>
      <c r="CR33" s="15">
        <v>691320</v>
      </c>
      <c r="CS33" s="15">
        <v>881433</v>
      </c>
      <c r="CT33" s="15">
        <f t="shared" si="27"/>
        <v>17283</v>
      </c>
      <c r="CU33" s="15">
        <f t="shared" si="28"/>
        <v>40</v>
      </c>
      <c r="CV33" s="15">
        <f t="shared" si="29"/>
        <v>51</v>
      </c>
      <c r="CW33" s="36" t="str">
        <f t="shared" si="30"/>
        <v>40/51</v>
      </c>
      <c r="CY33" s="10">
        <v>30</v>
      </c>
    </row>
    <row r="34" spans="1:103">
      <c r="A34" s="10">
        <v>8</v>
      </c>
      <c r="B34" s="18" t="s">
        <v>101</v>
      </c>
    </row>
    <row r="35" spans="1:103">
      <c r="A35" s="10">
        <v>9</v>
      </c>
      <c r="B35" s="18" t="s">
        <v>102</v>
      </c>
    </row>
    <row r="36" spans="1:103">
      <c r="A36" s="10">
        <v>10</v>
      </c>
      <c r="B36" s="18" t="s">
        <v>103</v>
      </c>
    </row>
    <row r="37" spans="1:103">
      <c r="A37" s="10">
        <v>11</v>
      </c>
      <c r="B37" s="18" t="s">
        <v>104</v>
      </c>
    </row>
    <row r="38" spans="1:103">
      <c r="A38" s="10">
        <v>12</v>
      </c>
      <c r="B38" s="18" t="s">
        <v>105</v>
      </c>
    </row>
    <row r="39" spans="1:103">
      <c r="A39" s="10">
        <v>13</v>
      </c>
      <c r="B39" s="18" t="s">
        <v>106</v>
      </c>
    </row>
    <row r="40" spans="1:103">
      <c r="A40" s="10">
        <v>14</v>
      </c>
      <c r="B40" s="18" t="s">
        <v>107</v>
      </c>
    </row>
    <row r="41" spans="1:103">
      <c r="A41" s="10">
        <v>15</v>
      </c>
      <c r="B41" s="18" t="s">
        <v>108</v>
      </c>
    </row>
    <row r="42" spans="1:103">
      <c r="A42" s="10">
        <v>16</v>
      </c>
      <c r="B42" s="18" t="s">
        <v>109</v>
      </c>
    </row>
    <row r="43" spans="1:103">
      <c r="A43" s="10">
        <v>17</v>
      </c>
      <c r="B43" s="18" t="s">
        <v>110</v>
      </c>
    </row>
    <row r="44" spans="1:103">
      <c r="A44" s="10">
        <v>18</v>
      </c>
      <c r="B44" s="18" t="s">
        <v>111</v>
      </c>
    </row>
    <row r="45" spans="1:103">
      <c r="A45" s="10">
        <v>19</v>
      </c>
      <c r="B45" s="18" t="s">
        <v>112</v>
      </c>
    </row>
    <row r="46" spans="1:103">
      <c r="A46" s="10">
        <v>20</v>
      </c>
      <c r="B46" s="18" t="s">
        <v>113</v>
      </c>
    </row>
    <row r="47" spans="1:103">
      <c r="A47" s="10">
        <v>21</v>
      </c>
      <c r="B47" s="18">
        <v>286</v>
      </c>
    </row>
    <row r="48" spans="1:103">
      <c r="A48" s="10">
        <v>22</v>
      </c>
      <c r="B48" s="18">
        <v>143</v>
      </c>
    </row>
    <row r="49" spans="1:2">
      <c r="A49" s="10">
        <v>23</v>
      </c>
      <c r="B49" s="18">
        <v>172</v>
      </c>
    </row>
    <row r="50" spans="1:2">
      <c r="A50" s="10">
        <v>24</v>
      </c>
      <c r="B50" s="18">
        <v>91</v>
      </c>
    </row>
    <row r="51" spans="1:2">
      <c r="A51" s="10">
        <v>25</v>
      </c>
      <c r="B51" s="18">
        <v>10</v>
      </c>
    </row>
  </sheetData>
  <mergeCells count="18">
    <mergeCell ref="AW2:BB2"/>
    <mergeCell ref="BD2:BI2"/>
    <mergeCell ref="BK2:BP2"/>
    <mergeCell ref="BR2:BW2"/>
    <mergeCell ref="BY2:CD2"/>
    <mergeCell ref="AF2:AI2"/>
    <mergeCell ref="AK2:AN2"/>
    <mergeCell ref="AP2:AU2"/>
    <mergeCell ref="A2:F2"/>
    <mergeCell ref="H2:M2"/>
    <mergeCell ref="O2:S2"/>
    <mergeCell ref="U2:Y2"/>
    <mergeCell ref="AA2:AD2"/>
    <mergeCell ref="DZ2:EQ2"/>
    <mergeCell ref="ES2:FJ2"/>
    <mergeCell ref="CY2:DX2"/>
    <mergeCell ref="CF2:CO2"/>
    <mergeCell ref="CQ2:CW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A1:DD38"/>
  <sheetViews>
    <sheetView workbookViewId="0"/>
  </sheetViews>
  <sheetFormatPr baseColWidth="10" defaultRowHeight="15"/>
  <cols>
    <col min="1" max="1" width="10.1640625" style="10" customWidth="1"/>
    <col min="2" max="2" width="30" style="10" customWidth="1"/>
    <col min="3" max="3" width="10.5" style="10" customWidth="1"/>
    <col min="4" max="4" width="10.83203125" style="10"/>
    <col min="5" max="5" width="9.83203125" style="10" customWidth="1"/>
    <col min="6" max="6" width="32.5" style="10" customWidth="1"/>
    <col min="7" max="8" width="10.83203125" style="10"/>
    <col min="9" max="9" width="9.83203125" style="10" customWidth="1"/>
    <col min="10" max="10" width="32.6640625" style="10" customWidth="1"/>
    <col min="11" max="11" width="13.5" style="10" customWidth="1"/>
    <col min="12" max="12" width="10.83203125" style="10"/>
    <col min="13" max="13" width="10.83203125" style="10" customWidth="1"/>
    <col min="14" max="14" width="34.6640625" style="10" customWidth="1"/>
    <col min="15" max="17" width="10.83203125" style="10"/>
    <col min="18" max="18" width="20.33203125" style="10" customWidth="1"/>
    <col min="19" max="20" width="10.83203125" style="10"/>
    <col min="21" max="21" width="11" style="10" customWidth="1"/>
    <col min="22" max="22" width="18.6640625" style="10" customWidth="1"/>
    <col min="23" max="24" width="10.83203125" style="10"/>
    <col min="25" max="25" width="10" style="10" customWidth="1"/>
    <col min="26" max="28" width="10.83203125" style="10"/>
    <col min="29" max="29" width="9.83203125" style="10" customWidth="1"/>
    <col min="30" max="30" width="19.5" style="10" customWidth="1"/>
    <col min="31" max="32" width="10.83203125" style="10"/>
    <col min="33" max="33" width="10.1640625" style="10" customWidth="1"/>
    <col min="34" max="36" width="10.83203125" style="10"/>
    <col min="37" max="37" width="9.5" style="10" customWidth="1"/>
    <col min="38" max="41" width="10.83203125" style="10"/>
    <col min="42" max="42" width="10.33203125" style="10" customWidth="1"/>
    <col min="43" max="43" width="24.6640625" style="10" customWidth="1"/>
    <col min="44" max="45" width="10.83203125" style="10"/>
    <col min="46" max="46" width="9.83203125" style="10" customWidth="1"/>
    <col min="47" max="47" width="26.83203125" style="10" customWidth="1"/>
    <col min="48" max="50" width="10.83203125" style="10"/>
    <col min="51" max="51" width="28.33203125" style="10" customWidth="1"/>
    <col min="52" max="53" width="10.83203125" style="10"/>
    <col min="54" max="54" width="10.5" style="10" customWidth="1"/>
    <col min="55" max="55" width="20.5" style="10" customWidth="1"/>
    <col min="56" max="56" width="10.1640625" style="10" customWidth="1"/>
    <col min="57" max="57" width="10.83203125" style="10"/>
    <col min="58" max="58" width="9.83203125" style="10" customWidth="1"/>
    <col min="59" max="59" width="34.5" style="10" customWidth="1"/>
    <col min="60" max="60" width="13.1640625" style="10" customWidth="1"/>
    <col min="61" max="62" width="10.83203125" style="10"/>
    <col min="63" max="63" width="27.6640625" style="10" customWidth="1"/>
    <col min="64" max="66" width="10.83203125" style="10"/>
    <col min="67" max="67" width="29.33203125" style="10" customWidth="1"/>
    <col min="68" max="68" width="12.83203125" style="10" customWidth="1"/>
    <col min="69" max="70" width="10.83203125" style="10"/>
    <col min="71" max="71" width="13.5" style="10" customWidth="1"/>
    <col min="72" max="73" width="10.83203125" style="10"/>
    <col min="74" max="74" width="9.5" style="10" customWidth="1"/>
    <col min="75" max="75" width="8.5" style="10" customWidth="1"/>
    <col min="76" max="76" width="8.1640625" style="10" customWidth="1"/>
    <col min="77" max="79" width="8.5" style="10" customWidth="1"/>
    <col min="80" max="82" width="10.83203125" style="10"/>
    <col min="83" max="83" width="20" style="10" customWidth="1"/>
    <col min="84" max="85" width="10.83203125" style="10"/>
    <col min="86" max="86" width="10.1640625" style="10" customWidth="1"/>
    <col min="87" max="90" width="10.83203125" style="10"/>
    <col min="91" max="91" width="20" style="10" customWidth="1"/>
    <col min="92" max="94" width="10.83203125" style="10"/>
    <col min="95" max="95" width="33" style="10" customWidth="1"/>
    <col min="96" max="99" width="10.83203125" style="10"/>
    <col min="100" max="100" width="13.1640625" style="10" customWidth="1"/>
    <col min="101" max="101" width="11.33203125" style="10" customWidth="1"/>
    <col min="102" max="102" width="13.1640625" style="10" customWidth="1"/>
    <col min="103" max="104" width="10.83203125" style="10"/>
    <col min="105" max="105" width="9.5" style="10" customWidth="1"/>
    <col min="106" max="106" width="65.33203125" style="10" customWidth="1"/>
    <col min="107" max="107" width="17.1640625" style="10" customWidth="1"/>
    <col min="108" max="108" width="13.5" style="10" customWidth="1"/>
    <col min="109" max="16384" width="10.83203125" style="10"/>
  </cols>
  <sheetData>
    <row r="1" spans="1:108" ht="100" customHeight="1"/>
    <row r="2" spans="1:108">
      <c r="A2" s="11" t="s">
        <v>779</v>
      </c>
      <c r="B2" s="11"/>
      <c r="C2" s="11"/>
      <c r="E2" s="11" t="s">
        <v>780</v>
      </c>
      <c r="F2" s="11"/>
      <c r="G2" s="11"/>
      <c r="I2" s="11" t="s">
        <v>781</v>
      </c>
      <c r="J2" s="11"/>
      <c r="K2" s="11"/>
      <c r="M2" s="11" t="s">
        <v>782</v>
      </c>
      <c r="N2" s="11"/>
      <c r="O2" s="11"/>
      <c r="Q2" s="11" t="s">
        <v>783</v>
      </c>
      <c r="R2" s="11"/>
      <c r="S2" s="11"/>
      <c r="U2" s="11" t="s">
        <v>784</v>
      </c>
      <c r="V2" s="11"/>
      <c r="W2" s="11"/>
      <c r="Y2" s="11" t="s">
        <v>785</v>
      </c>
      <c r="Z2" s="11"/>
      <c r="AA2" s="11"/>
      <c r="AC2" s="11" t="s">
        <v>786</v>
      </c>
      <c r="AD2" s="11"/>
      <c r="AE2" s="11"/>
      <c r="AG2" s="11" t="s">
        <v>787</v>
      </c>
      <c r="AH2" s="11"/>
      <c r="AI2" s="11"/>
      <c r="AJ2" s="80"/>
      <c r="AK2" s="11" t="s">
        <v>277</v>
      </c>
      <c r="AL2" s="11"/>
      <c r="AM2" s="11"/>
      <c r="AN2" s="11"/>
      <c r="AO2" s="80"/>
      <c r="AP2" s="11" t="s">
        <v>788</v>
      </c>
      <c r="AQ2" s="11"/>
      <c r="AR2" s="11"/>
      <c r="AT2" s="11" t="s">
        <v>789</v>
      </c>
      <c r="AU2" s="11"/>
      <c r="AV2" s="11"/>
      <c r="AX2" s="11" t="s">
        <v>790</v>
      </c>
      <c r="AY2" s="11"/>
      <c r="AZ2" s="11"/>
      <c r="BB2" s="11" t="s">
        <v>791</v>
      </c>
      <c r="BC2" s="11"/>
      <c r="BD2" s="11"/>
      <c r="BF2" s="11" t="s">
        <v>792</v>
      </c>
      <c r="BG2" s="11"/>
      <c r="BH2" s="11"/>
      <c r="BJ2" s="11" t="s">
        <v>793</v>
      </c>
      <c r="BK2" s="11"/>
      <c r="BL2" s="11"/>
      <c r="BN2" s="11" t="s">
        <v>794</v>
      </c>
      <c r="BO2" s="11"/>
      <c r="BP2" s="11"/>
      <c r="BR2" s="11" t="s">
        <v>795</v>
      </c>
      <c r="BS2" s="11"/>
      <c r="BT2" s="11"/>
      <c r="BU2" s="80"/>
      <c r="BV2" s="11" t="s">
        <v>796</v>
      </c>
      <c r="BW2" s="11"/>
      <c r="BX2" s="11"/>
      <c r="BY2" s="11"/>
      <c r="BZ2" s="11"/>
      <c r="CA2" s="11"/>
      <c r="CB2" s="11"/>
      <c r="CC2" s="30"/>
      <c r="CD2" s="11" t="s">
        <v>797</v>
      </c>
      <c r="CE2" s="11"/>
      <c r="CF2" s="11"/>
      <c r="CH2" s="11" t="s">
        <v>798</v>
      </c>
      <c r="CI2" s="11"/>
      <c r="CJ2" s="11"/>
      <c r="CL2" s="11" t="s">
        <v>799</v>
      </c>
      <c r="CM2" s="11"/>
      <c r="CN2" s="11"/>
      <c r="CP2" s="11" t="s">
        <v>800</v>
      </c>
      <c r="CQ2" s="11"/>
      <c r="CR2" s="11"/>
      <c r="CT2" s="11" t="s">
        <v>231</v>
      </c>
      <c r="CU2" s="11"/>
      <c r="CV2" s="11"/>
      <c r="CW2" s="11"/>
      <c r="CX2" s="11"/>
      <c r="CY2" s="11"/>
      <c r="DA2" s="11" t="s">
        <v>233</v>
      </c>
      <c r="DB2" s="11"/>
      <c r="DC2" s="11"/>
      <c r="DD2" s="11"/>
    </row>
    <row r="3" spans="1:108" ht="32">
      <c r="A3" s="31" t="s">
        <v>801</v>
      </c>
      <c r="B3" s="31" t="s">
        <v>802</v>
      </c>
      <c r="C3" s="31" t="s">
        <v>1286</v>
      </c>
      <c r="E3" s="31" t="s">
        <v>4</v>
      </c>
      <c r="F3" s="31" t="s">
        <v>802</v>
      </c>
      <c r="G3" s="31" t="s">
        <v>1286</v>
      </c>
      <c r="I3" s="31" t="s">
        <v>4</v>
      </c>
      <c r="J3" s="31" t="s">
        <v>804</v>
      </c>
      <c r="K3" s="31" t="s">
        <v>196</v>
      </c>
      <c r="M3" s="31" t="s">
        <v>4</v>
      </c>
      <c r="N3" s="31" t="s">
        <v>804</v>
      </c>
      <c r="O3" s="31" t="s">
        <v>196</v>
      </c>
      <c r="Q3" s="31" t="s">
        <v>4</v>
      </c>
      <c r="R3" s="31" t="s">
        <v>802</v>
      </c>
      <c r="S3" s="31" t="s">
        <v>196</v>
      </c>
      <c r="U3" s="31" t="s">
        <v>4</v>
      </c>
      <c r="V3" s="31" t="s">
        <v>804</v>
      </c>
      <c r="W3" s="31" t="s">
        <v>196</v>
      </c>
      <c r="Y3" s="31" t="s">
        <v>4</v>
      </c>
      <c r="Z3" s="31" t="s">
        <v>804</v>
      </c>
      <c r="AA3" s="31" t="s">
        <v>196</v>
      </c>
      <c r="AC3" s="31" t="s">
        <v>801</v>
      </c>
      <c r="AD3" s="31" t="s">
        <v>802</v>
      </c>
      <c r="AE3" s="31" t="s">
        <v>196</v>
      </c>
      <c r="AG3" s="31" t="s">
        <v>4</v>
      </c>
      <c r="AH3" s="31" t="s">
        <v>804</v>
      </c>
      <c r="AI3" s="31" t="s">
        <v>196</v>
      </c>
      <c r="AK3" s="12" t="s">
        <v>4</v>
      </c>
      <c r="AL3" s="31" t="s">
        <v>212</v>
      </c>
      <c r="AM3" s="31" t="s">
        <v>278</v>
      </c>
      <c r="AN3" s="31" t="s">
        <v>279</v>
      </c>
      <c r="AO3" s="31"/>
      <c r="AP3" s="31" t="s">
        <v>4</v>
      </c>
      <c r="AQ3" s="31" t="s">
        <v>804</v>
      </c>
      <c r="AR3" s="31" t="s">
        <v>196</v>
      </c>
      <c r="AT3" s="31" t="s">
        <v>4</v>
      </c>
      <c r="AU3" s="31" t="s">
        <v>806</v>
      </c>
      <c r="AV3" s="31" t="s">
        <v>196</v>
      </c>
      <c r="AX3" s="31" t="s">
        <v>4</v>
      </c>
      <c r="AY3" s="31" t="s">
        <v>804</v>
      </c>
      <c r="AZ3" s="31" t="s">
        <v>196</v>
      </c>
      <c r="BB3" s="31" t="s">
        <v>4</v>
      </c>
      <c r="BC3" s="31" t="s">
        <v>804</v>
      </c>
      <c r="BD3" s="31" t="s">
        <v>196</v>
      </c>
      <c r="BF3" s="31" t="s">
        <v>4</v>
      </c>
      <c r="BG3" s="31" t="s">
        <v>804</v>
      </c>
      <c r="BH3" s="31" t="s">
        <v>196</v>
      </c>
      <c r="BJ3" s="31" t="s">
        <v>4</v>
      </c>
      <c r="BK3" s="31" t="s">
        <v>804</v>
      </c>
      <c r="BL3" s="31" t="s">
        <v>196</v>
      </c>
      <c r="BN3" s="31" t="s">
        <v>4</v>
      </c>
      <c r="BO3" s="31" t="s">
        <v>804</v>
      </c>
      <c r="BP3" s="31" t="s">
        <v>196</v>
      </c>
      <c r="BR3" s="31" t="s">
        <v>4</v>
      </c>
      <c r="BS3" s="31" t="s">
        <v>804</v>
      </c>
      <c r="BT3" s="31" t="s">
        <v>196</v>
      </c>
      <c r="BV3" s="31" t="s">
        <v>4</v>
      </c>
      <c r="BW3" s="31" t="s">
        <v>202</v>
      </c>
      <c r="BX3" s="31" t="s">
        <v>201</v>
      </c>
      <c r="BY3" s="31" t="s">
        <v>807</v>
      </c>
      <c r="BZ3" s="31" t="s">
        <v>808</v>
      </c>
      <c r="CA3" s="31" t="s">
        <v>45</v>
      </c>
      <c r="CB3" s="31" t="s">
        <v>196</v>
      </c>
      <c r="CD3" s="31" t="s">
        <v>4</v>
      </c>
      <c r="CE3" s="31" t="s">
        <v>802</v>
      </c>
      <c r="CF3" s="31" t="s">
        <v>196</v>
      </c>
      <c r="CH3" s="31" t="s">
        <v>4</v>
      </c>
      <c r="CI3" s="31" t="s">
        <v>804</v>
      </c>
      <c r="CJ3" s="31" t="s">
        <v>196</v>
      </c>
      <c r="CL3" s="31" t="s">
        <v>4</v>
      </c>
      <c r="CM3" s="31" t="s">
        <v>804</v>
      </c>
      <c r="CN3" s="31" t="s">
        <v>196</v>
      </c>
      <c r="CP3" s="31" t="s">
        <v>4</v>
      </c>
      <c r="CQ3" s="31" t="s">
        <v>804</v>
      </c>
      <c r="CR3" s="31" t="s">
        <v>196</v>
      </c>
      <c r="CT3" s="12" t="s">
        <v>4</v>
      </c>
      <c r="CU3" s="31" t="s">
        <v>179</v>
      </c>
      <c r="CV3" s="31" t="s">
        <v>115</v>
      </c>
      <c r="CW3" s="31" t="s">
        <v>232</v>
      </c>
      <c r="CX3" s="31" t="s">
        <v>116</v>
      </c>
      <c r="CY3" s="31" t="s">
        <v>196</v>
      </c>
      <c r="DA3" s="12" t="s">
        <v>4</v>
      </c>
      <c r="DB3" s="31" t="s">
        <v>804</v>
      </c>
      <c r="DC3" s="56" t="s">
        <v>196</v>
      </c>
      <c r="DD3" s="56"/>
    </row>
    <row r="4" spans="1:108">
      <c r="A4" s="10">
        <v>1</v>
      </c>
      <c r="B4" s="10" t="s">
        <v>809</v>
      </c>
      <c r="C4" s="19">
        <f>1/3+2/3</f>
        <v>1</v>
      </c>
      <c r="E4" s="10">
        <v>1</v>
      </c>
      <c r="F4" s="10" t="s">
        <v>810</v>
      </c>
      <c r="G4" s="19">
        <f>2/3+5/6</f>
        <v>1.5</v>
      </c>
      <c r="I4" s="10">
        <v>1</v>
      </c>
      <c r="J4" s="10" t="s">
        <v>811</v>
      </c>
      <c r="K4" s="19">
        <f>3.25 + 5.75</f>
        <v>9</v>
      </c>
      <c r="M4" s="10">
        <v>1</v>
      </c>
      <c r="N4" s="10" t="s">
        <v>812</v>
      </c>
      <c r="O4" s="19">
        <f>7 +8/7</f>
        <v>8.1428571428571423</v>
      </c>
      <c r="Q4" s="10">
        <v>1</v>
      </c>
      <c r="R4" s="10" t="s">
        <v>813</v>
      </c>
      <c r="S4" s="19">
        <f>4/5-1/5</f>
        <v>0.60000000000000009</v>
      </c>
      <c r="U4" s="10">
        <v>1</v>
      </c>
      <c r="V4" s="10" t="s">
        <v>814</v>
      </c>
      <c r="W4" s="19">
        <f>1/2-1/6</f>
        <v>0.33333333333333337</v>
      </c>
      <c r="Y4" s="10">
        <v>1</v>
      </c>
      <c r="Z4" s="81" t="s">
        <v>815</v>
      </c>
      <c r="AA4" s="19">
        <f>8-2/3</f>
        <v>7.333333333333333</v>
      </c>
      <c r="AC4" s="10">
        <v>1</v>
      </c>
      <c r="AD4" s="10" t="s">
        <v>816</v>
      </c>
      <c r="AE4" s="19">
        <f>6.83333333333333-3.16666666666667</f>
        <v>3.6666666666666603</v>
      </c>
      <c r="AG4" s="10">
        <v>1</v>
      </c>
      <c r="AH4" s="81" t="s">
        <v>817</v>
      </c>
      <c r="AI4" s="19">
        <f>9-4.5</f>
        <v>4.5</v>
      </c>
      <c r="AJ4" s="19"/>
      <c r="AK4" s="10">
        <v>1</v>
      </c>
      <c r="AL4" s="19">
        <v>16.600000000000001</v>
      </c>
      <c r="AM4" s="19">
        <v>6</v>
      </c>
      <c r="AN4" s="19">
        <f t="shared" ref="AN4:AN13" si="0">AL4 - AM4</f>
        <v>10.600000000000001</v>
      </c>
      <c r="AO4" s="19"/>
      <c r="AP4" s="10">
        <v>1</v>
      </c>
      <c r="AQ4" s="10" t="s">
        <v>819</v>
      </c>
      <c r="AR4" s="19">
        <f>2/3+5/6-1/12</f>
        <v>1.4166666666666667</v>
      </c>
      <c r="AT4" s="10">
        <v>1</v>
      </c>
      <c r="AU4" s="10" t="s">
        <v>820</v>
      </c>
      <c r="AV4" s="19">
        <f>3+3/5-1/8</f>
        <v>3.4750000000000001</v>
      </c>
      <c r="AX4" s="10">
        <v>1</v>
      </c>
      <c r="AY4" s="10" t="s">
        <v>821</v>
      </c>
      <c r="AZ4" s="19">
        <f>3/8-(1/6+1/12)</f>
        <v>0.125</v>
      </c>
      <c r="BB4" s="10">
        <v>1</v>
      </c>
      <c r="BC4" s="10" t="s">
        <v>822</v>
      </c>
      <c r="BD4" s="19">
        <f>2/3*3/2</f>
        <v>1</v>
      </c>
      <c r="BF4" s="10">
        <v>1</v>
      </c>
      <c r="BG4" s="10" t="s">
        <v>823</v>
      </c>
      <c r="BH4" s="19">
        <f>1.5*1.66666666666667</f>
        <v>2.5000000000000053</v>
      </c>
      <c r="BJ4" s="10">
        <v>1</v>
      </c>
      <c r="BK4" s="10" t="s">
        <v>824</v>
      </c>
      <c r="BL4" s="19">
        <f>3*1/3*3/5</f>
        <v>0.6</v>
      </c>
      <c r="BN4" s="10">
        <v>1</v>
      </c>
      <c r="BO4" s="10" t="s">
        <v>825</v>
      </c>
      <c r="BP4" s="19">
        <f>(3/5*1/3)*5.0625</f>
        <v>1.0125</v>
      </c>
      <c r="BR4" s="10">
        <v>1</v>
      </c>
      <c r="BS4" s="10" t="s">
        <v>826</v>
      </c>
      <c r="BT4" s="19">
        <f>2/3*12</f>
        <v>8</v>
      </c>
      <c r="BU4" s="19"/>
      <c r="BV4" s="39">
        <v>1</v>
      </c>
      <c r="BW4" s="82">
        <v>0.66666666666666663</v>
      </c>
      <c r="BX4" s="82">
        <v>0.5</v>
      </c>
      <c r="BY4" s="39">
        <v>1</v>
      </c>
      <c r="BZ4" s="39">
        <v>1</v>
      </c>
      <c r="CA4" s="39">
        <v>12</v>
      </c>
      <c r="CB4" s="39">
        <f>PRODUCT(BW4:CA4)</f>
        <v>4</v>
      </c>
      <c r="CD4" s="10">
        <v>1</v>
      </c>
      <c r="CE4" s="10" t="s">
        <v>827</v>
      </c>
      <c r="CF4" s="19">
        <f>(3/5)/(7/10)</f>
        <v>0.85714285714285721</v>
      </c>
      <c r="CH4" s="10">
        <v>1</v>
      </c>
      <c r="CI4" s="10" t="s">
        <v>828</v>
      </c>
      <c r="CJ4" s="19">
        <f>8/(1/2)</f>
        <v>16</v>
      </c>
      <c r="CL4" s="10">
        <v>1</v>
      </c>
      <c r="CM4" s="10" t="s">
        <v>829</v>
      </c>
      <c r="CN4" s="19">
        <f>(1.5)/(2.33333333333333)</f>
        <v>0.64285714285714379</v>
      </c>
      <c r="CP4" s="10">
        <v>1</v>
      </c>
      <c r="CQ4" s="10" t="s">
        <v>830</v>
      </c>
      <c r="CR4" s="19">
        <f>((1/2)/(3/4))/(3/2)</f>
        <v>0.44444444444444442</v>
      </c>
      <c r="CT4" s="10">
        <v>1</v>
      </c>
      <c r="CU4" s="10">
        <v>5</v>
      </c>
      <c r="CV4" s="10">
        <v>1</v>
      </c>
      <c r="CW4" s="55">
        <v>0.375</v>
      </c>
      <c r="CX4" s="55">
        <v>1</v>
      </c>
      <c r="CY4" s="19">
        <f>(CU4/CV4)/(CW4/CX4)</f>
        <v>13.333333333333334</v>
      </c>
      <c r="DA4" s="10">
        <v>1</v>
      </c>
      <c r="DB4" s="10" t="s">
        <v>235</v>
      </c>
      <c r="DC4" s="19">
        <f>(1/3+2/5+1/30)/(23/30)</f>
        <v>1</v>
      </c>
      <c r="DD4" s="55"/>
    </row>
    <row r="5" spans="1:108">
      <c r="A5" s="10">
        <v>2</v>
      </c>
      <c r="B5" s="10" t="s">
        <v>831</v>
      </c>
      <c r="C5" s="19">
        <f>2/5+3/5+4/5</f>
        <v>1.8</v>
      </c>
      <c r="E5" s="10">
        <v>2</v>
      </c>
      <c r="F5" s="10" t="s">
        <v>832</v>
      </c>
      <c r="G5" s="19">
        <f>5/12+7/24</f>
        <v>0.70833333333333337</v>
      </c>
      <c r="I5" s="10">
        <v>2</v>
      </c>
      <c r="J5" s="10" t="s">
        <v>833</v>
      </c>
      <c r="K5" s="19">
        <f>8.42857142857143+6.71428571428571</f>
        <v>15.142857142857141</v>
      </c>
      <c r="M5" s="10">
        <v>2</v>
      </c>
      <c r="N5" s="10" t="s">
        <v>834</v>
      </c>
      <c r="O5" s="19">
        <f>18+6/5</f>
        <v>19.2</v>
      </c>
      <c r="Q5" s="10">
        <v>2</v>
      </c>
      <c r="R5" s="10" t="s">
        <v>835</v>
      </c>
      <c r="S5" s="19">
        <f>11/14-5/14</f>
        <v>0.42857142857142855</v>
      </c>
      <c r="U5" s="10">
        <v>2</v>
      </c>
      <c r="V5" s="10" t="s">
        <v>836</v>
      </c>
      <c r="W5" s="19">
        <f>3/5-1/10</f>
        <v>0.5</v>
      </c>
      <c r="Y5" s="10">
        <v>2</v>
      </c>
      <c r="Z5" s="81" t="s">
        <v>837</v>
      </c>
      <c r="AA5" s="19">
        <f>9-9/10</f>
        <v>8.1</v>
      </c>
      <c r="AC5" s="10">
        <v>2</v>
      </c>
      <c r="AD5" s="10" t="s">
        <v>838</v>
      </c>
      <c r="AE5" s="19">
        <f>7.6-4.3</f>
        <v>3.3</v>
      </c>
      <c r="AG5" s="10">
        <v>2</v>
      </c>
      <c r="AH5" s="81" t="s">
        <v>839</v>
      </c>
      <c r="AI5" s="19">
        <f>12-1.77777777777778</f>
        <v>10.22222222222222</v>
      </c>
      <c r="AJ5" s="19"/>
      <c r="AK5" s="10">
        <v>2</v>
      </c>
      <c r="AL5" s="19">
        <v>1.875</v>
      </c>
      <c r="AM5" s="19">
        <v>1</v>
      </c>
      <c r="AN5" s="19">
        <f t="shared" si="0"/>
        <v>0.875</v>
      </c>
      <c r="AO5" s="19"/>
      <c r="AP5" s="10">
        <v>2</v>
      </c>
      <c r="AQ5" s="10" t="s">
        <v>841</v>
      </c>
      <c r="AR5" s="19">
        <f>3/4-5/8+7/12</f>
        <v>0.70833333333333337</v>
      </c>
      <c r="AT5" s="10">
        <v>2</v>
      </c>
      <c r="AU5" s="10" t="s">
        <v>842</v>
      </c>
      <c r="AV5" s="19">
        <f>6+1.33333333333333-2/5</f>
        <v>6.93333333333333</v>
      </c>
      <c r="AX5" s="10">
        <v>2</v>
      </c>
      <c r="AY5" s="10" t="s">
        <v>843</v>
      </c>
      <c r="AZ5" s="19">
        <f>4.5+(3/5-1/6)</f>
        <v>4.9333333333333336</v>
      </c>
      <c r="BB5" s="10">
        <v>2</v>
      </c>
      <c r="BC5" s="10" t="s">
        <v>844</v>
      </c>
      <c r="BD5" s="19">
        <f>4/5*10/9</f>
        <v>0.88888888888888884</v>
      </c>
      <c r="BF5" s="10">
        <v>2</v>
      </c>
      <c r="BG5" s="10" t="s">
        <v>845</v>
      </c>
      <c r="BH5" s="19">
        <f>3.25*1.07692307692308</f>
        <v>3.5000000000000098</v>
      </c>
      <c r="BJ5" s="10">
        <v>2</v>
      </c>
      <c r="BK5" s="10" t="s">
        <v>846</v>
      </c>
      <c r="BL5" s="19">
        <f>2.5*1/5*2</f>
        <v>1</v>
      </c>
      <c r="BN5" s="10">
        <v>2</v>
      </c>
      <c r="BO5" s="10" t="s">
        <v>847</v>
      </c>
      <c r="BP5" s="19">
        <f>16*(14.0625*5.16666666666667)</f>
        <v>1162.5000000000007</v>
      </c>
      <c r="BR5" s="10">
        <v>2</v>
      </c>
      <c r="BS5" s="10" t="s">
        <v>848</v>
      </c>
      <c r="BT5" s="19">
        <f>5/6*42</f>
        <v>35</v>
      </c>
      <c r="BU5" s="19"/>
      <c r="BV5" s="39">
        <v>2</v>
      </c>
      <c r="BW5" s="82">
        <v>0.75</v>
      </c>
      <c r="BX5" s="82">
        <v>0.2</v>
      </c>
      <c r="BY5" s="39">
        <v>1</v>
      </c>
      <c r="BZ5" s="39">
        <v>1</v>
      </c>
      <c r="CA5" s="39">
        <v>40</v>
      </c>
      <c r="CB5" s="39">
        <f t="shared" ref="CB5:CB18" si="1">PRODUCT(BW5:CA5)</f>
        <v>6.0000000000000009</v>
      </c>
      <c r="CD5" s="10">
        <v>2</v>
      </c>
      <c r="CE5" s="10" t="s">
        <v>849</v>
      </c>
      <c r="CF5" s="19">
        <f>(5/6)/(2/3)</f>
        <v>1.2500000000000002</v>
      </c>
      <c r="CH5" s="10">
        <v>2</v>
      </c>
      <c r="CI5" s="10" t="s">
        <v>850</v>
      </c>
      <c r="CJ5" s="19">
        <f>15/(3/4)</f>
        <v>20</v>
      </c>
      <c r="CL5" s="10">
        <v>2</v>
      </c>
      <c r="CM5" s="10" t="s">
        <v>851</v>
      </c>
      <c r="CN5" s="19">
        <f>(2.33333333333333)/(3.5)</f>
        <v>0.66666666666666574</v>
      </c>
      <c r="CP5" s="10">
        <v>2</v>
      </c>
      <c r="CQ5" s="10" t="s">
        <v>852</v>
      </c>
      <c r="CR5" s="19">
        <f>((3.4)/(17/3))*1.66666666666667</f>
        <v>1.000000000000002</v>
      </c>
      <c r="CT5" s="10">
        <v>2</v>
      </c>
      <c r="CU5" s="55">
        <v>0.875</v>
      </c>
      <c r="CV5" s="10">
        <v>1</v>
      </c>
      <c r="CW5" s="10">
        <v>10</v>
      </c>
      <c r="CX5" s="55">
        <v>1</v>
      </c>
      <c r="CY5" s="19">
        <f t="shared" ref="CY5:CY23" si="2">(CU5/CV5)/(CW5/CX5)</f>
        <v>8.7499999999999994E-2</v>
      </c>
      <c r="DA5" s="10">
        <v>2</v>
      </c>
      <c r="DB5" s="55" t="s">
        <v>236</v>
      </c>
      <c r="DC5" s="19">
        <f>(4.5 - 3.66666666666667 + 1/4)/(2- 0.2)</f>
        <v>0.60185185185184997</v>
      </c>
    </row>
    <row r="6" spans="1:108">
      <c r="A6" s="10">
        <v>3</v>
      </c>
      <c r="B6" s="10" t="s">
        <v>853</v>
      </c>
      <c r="C6" s="19">
        <f>3/8+5/8+2/8</f>
        <v>1.25</v>
      </c>
      <c r="E6" s="10">
        <v>3</v>
      </c>
      <c r="F6" s="10" t="s">
        <v>854</v>
      </c>
      <c r="G6" s="19">
        <f>5/8+11/64</f>
        <v>0.796875</v>
      </c>
      <c r="I6" s="10">
        <v>3</v>
      </c>
      <c r="J6" s="10" t="s">
        <v>855</v>
      </c>
      <c r="K6" s="19">
        <f>9.6+4.1</f>
        <v>13.7</v>
      </c>
      <c r="M6" s="10">
        <v>3</v>
      </c>
      <c r="N6" s="10" t="s">
        <v>856</v>
      </c>
      <c r="O6" s="19">
        <f>14/12+60</f>
        <v>61.166666666666664</v>
      </c>
      <c r="Q6" s="10">
        <v>3</v>
      </c>
      <c r="R6" s="10" t="s">
        <v>857</v>
      </c>
      <c r="S6" s="19">
        <f>17/20-7/20</f>
        <v>0.5</v>
      </c>
      <c r="U6" s="10">
        <v>3</v>
      </c>
      <c r="V6" s="10" t="s">
        <v>858</v>
      </c>
      <c r="W6" s="19">
        <f>7/12-1/4</f>
        <v>0.33333333333333337</v>
      </c>
      <c r="Y6" s="10">
        <v>3</v>
      </c>
      <c r="Z6" s="81" t="s">
        <v>859</v>
      </c>
      <c r="AA6" s="19">
        <f>13-7/8</f>
        <v>12.125</v>
      </c>
      <c r="AC6" s="10">
        <v>3</v>
      </c>
      <c r="AD6" s="10" t="s">
        <v>860</v>
      </c>
      <c r="AE6" s="19">
        <f>8.83333333333333-5.08333333333333</f>
        <v>3.75</v>
      </c>
      <c r="AG6" s="10">
        <v>3</v>
      </c>
      <c r="AH6" s="81" t="s">
        <v>861</v>
      </c>
      <c r="AI6" s="19">
        <f>10-5.75</f>
        <v>4.25</v>
      </c>
      <c r="AJ6" s="19"/>
      <c r="AK6" s="10">
        <v>3</v>
      </c>
      <c r="AL6" s="19">
        <v>18.222222222222221</v>
      </c>
      <c r="AM6" s="19">
        <v>6</v>
      </c>
      <c r="AN6" s="19">
        <f t="shared" si="0"/>
        <v>12.222222222222221</v>
      </c>
      <c r="AO6" s="19"/>
      <c r="AP6" s="10">
        <v>3</v>
      </c>
      <c r="AQ6" s="10" t="s">
        <v>863</v>
      </c>
      <c r="AR6" s="19">
        <f>7/12+5/9-4/24</f>
        <v>0.97222222222222221</v>
      </c>
      <c r="AT6" s="10">
        <v>3</v>
      </c>
      <c r="AU6" s="10" t="s">
        <v>864</v>
      </c>
      <c r="AV6" s="19">
        <f>9-5.16666666666667+4.08333333333333</f>
        <v>7.9166666666666607</v>
      </c>
      <c r="AX6" s="10">
        <v>3</v>
      </c>
      <c r="AY6" s="10" t="s">
        <v>865</v>
      </c>
      <c r="AZ6" s="19">
        <f>7.25-(4-1/2)</f>
        <v>3.75</v>
      </c>
      <c r="BB6" s="10">
        <v>3</v>
      </c>
      <c r="BC6" s="10" t="s">
        <v>866</v>
      </c>
      <c r="BD6" s="19">
        <f>7/8*16/21</f>
        <v>0.66666666666666663</v>
      </c>
      <c r="BF6" s="10">
        <v>3</v>
      </c>
      <c r="BG6" s="10" t="s">
        <v>867</v>
      </c>
      <c r="BH6" s="19">
        <f>5.25*2.22222222222222</f>
        <v>11.666666666666655</v>
      </c>
      <c r="BJ6" s="10">
        <v>3</v>
      </c>
      <c r="BK6" s="10" t="s">
        <v>868</v>
      </c>
      <c r="BL6" s="19">
        <f>3.25*2/13*1/3</f>
        <v>0.16666666666666666</v>
      </c>
      <c r="BN6" s="10">
        <v>3</v>
      </c>
      <c r="BO6" s="10" t="s">
        <v>869</v>
      </c>
      <c r="BP6" s="19">
        <f>(1/2-1/3)*6</f>
        <v>1</v>
      </c>
      <c r="BR6" s="10">
        <v>3</v>
      </c>
      <c r="BS6" s="10" t="s">
        <v>870</v>
      </c>
      <c r="BT6" s="19">
        <f>7/8*108</f>
        <v>94.5</v>
      </c>
      <c r="BU6" s="19"/>
      <c r="BV6" s="39">
        <v>3</v>
      </c>
      <c r="BW6" s="82">
        <v>0.83333333333333337</v>
      </c>
      <c r="BX6" s="82">
        <v>0.1111111111111111</v>
      </c>
      <c r="BY6" s="39">
        <v>1</v>
      </c>
      <c r="BZ6" s="39">
        <v>1</v>
      </c>
      <c r="CA6" s="39">
        <v>108</v>
      </c>
      <c r="CB6" s="39">
        <f t="shared" si="1"/>
        <v>10</v>
      </c>
      <c r="CD6" s="10">
        <v>3</v>
      </c>
      <c r="CE6" s="10" t="s">
        <v>871</v>
      </c>
      <c r="CF6" s="19">
        <f>(7/8)/(14/9)</f>
        <v>0.5625</v>
      </c>
      <c r="CH6" s="10">
        <v>3</v>
      </c>
      <c r="CI6" s="10" t="s">
        <v>872</v>
      </c>
      <c r="CJ6" s="19">
        <f>9/(2/3)</f>
        <v>13.5</v>
      </c>
      <c r="CL6" s="10">
        <v>3</v>
      </c>
      <c r="CM6" s="10" t="s">
        <v>873</v>
      </c>
      <c r="CN6" s="19">
        <f>(3.25)/(4.33333333333333)</f>
        <v>0.75000000000000056</v>
      </c>
      <c r="CP6" s="10">
        <v>3</v>
      </c>
      <c r="CQ6" s="10" t="s">
        <v>874</v>
      </c>
      <c r="CR6" s="19">
        <f>(1/3+2/30)/(1/6)</f>
        <v>2.4</v>
      </c>
      <c r="CT6" s="10">
        <v>3</v>
      </c>
      <c r="CU6" s="55">
        <v>0.6</v>
      </c>
      <c r="CV6" s="10">
        <v>1</v>
      </c>
      <c r="CW6" s="82">
        <v>0.1</v>
      </c>
      <c r="CX6" s="55">
        <v>1</v>
      </c>
      <c r="CY6" s="19">
        <f t="shared" si="2"/>
        <v>5.9999999999999991</v>
      </c>
      <c r="DA6" s="10">
        <v>3</v>
      </c>
      <c r="DB6" s="55" t="s">
        <v>237</v>
      </c>
      <c r="DC6" s="67">
        <f>(1/10 + 1/100 - 1/1000)/10</f>
        <v>1.09E-2</v>
      </c>
      <c r="DD6" s="81" t="s">
        <v>285</v>
      </c>
    </row>
    <row r="7" spans="1:108">
      <c r="A7" s="10">
        <v>4</v>
      </c>
      <c r="B7" s="10" t="s">
        <v>875</v>
      </c>
      <c r="C7" s="19">
        <f>2/9+5/9+7/9</f>
        <v>1.5555555555555556</v>
      </c>
      <c r="E7" s="10">
        <v>4</v>
      </c>
      <c r="F7" s="10" t="s">
        <v>876</v>
      </c>
      <c r="G7" s="19">
        <f>7/24+11/30</f>
        <v>0.65833333333333333</v>
      </c>
      <c r="I7" s="10">
        <v>4</v>
      </c>
      <c r="J7" s="10" t="s">
        <v>877</v>
      </c>
      <c r="K7" s="19">
        <f>7.125+3.20833333333333</f>
        <v>10.33333333333333</v>
      </c>
      <c r="M7" s="10">
        <v>4</v>
      </c>
      <c r="N7" s="10" t="s">
        <v>878</v>
      </c>
      <c r="O7" s="19">
        <f>14+5.66666666666667</f>
        <v>19.666666666666671</v>
      </c>
      <c r="Q7" s="10">
        <v>4</v>
      </c>
      <c r="R7" s="10" t="s">
        <v>879</v>
      </c>
      <c r="S7" s="19">
        <f>8/15-3/15</f>
        <v>0.33333333333333331</v>
      </c>
      <c r="U7" s="10">
        <v>4</v>
      </c>
      <c r="V7" s="10" t="s">
        <v>880</v>
      </c>
      <c r="W7" s="19">
        <f>11/8-7/24</f>
        <v>1.0833333333333333</v>
      </c>
      <c r="Y7" s="10">
        <v>4</v>
      </c>
      <c r="Z7" s="81" t="s">
        <v>881</v>
      </c>
      <c r="AA7" s="19">
        <f>16-1/11</f>
        <v>15.909090909090908</v>
      </c>
      <c r="AC7" s="10">
        <v>4</v>
      </c>
      <c r="AD7" s="10" t="s">
        <v>882</v>
      </c>
      <c r="AE7" s="19">
        <f>9.875-2.20833333333333</f>
        <v>7.6666666666666696</v>
      </c>
      <c r="AG7" s="10">
        <v>4</v>
      </c>
      <c r="AH7" s="81" t="s">
        <v>883</v>
      </c>
      <c r="AI7" s="19">
        <f>14-13.8823529411765</f>
        <v>0.11764705882350057</v>
      </c>
      <c r="AJ7" s="19"/>
      <c r="AK7" s="10">
        <v>4</v>
      </c>
      <c r="AL7" s="19">
        <v>20.75</v>
      </c>
      <c r="AM7" s="19">
        <v>14</v>
      </c>
      <c r="AN7" s="19">
        <f t="shared" si="0"/>
        <v>6.75</v>
      </c>
      <c r="AO7" s="19"/>
      <c r="AP7" s="10">
        <v>4</v>
      </c>
      <c r="AQ7" s="10" t="s">
        <v>885</v>
      </c>
      <c r="AR7" s="19">
        <f>11/15-7/30+3/10</f>
        <v>0.79999999999999993</v>
      </c>
      <c r="AT7" s="10">
        <v>4</v>
      </c>
      <c r="AU7" s="10" t="s">
        <v>886</v>
      </c>
      <c r="AV7" s="19">
        <f>35-1/8-3/24</f>
        <v>34.75</v>
      </c>
      <c r="AX7" s="10">
        <v>4</v>
      </c>
      <c r="AY7" s="10" t="s">
        <v>887</v>
      </c>
      <c r="AZ7" s="19">
        <f>3.625-(2.75+1/8)</f>
        <v>0.75</v>
      </c>
      <c r="BB7" s="10">
        <v>4</v>
      </c>
      <c r="BC7" s="10" t="s">
        <v>888</v>
      </c>
      <c r="BD7" s="19">
        <f>52/24*4/13</f>
        <v>0.66666666666666663</v>
      </c>
      <c r="BF7" s="10">
        <v>4</v>
      </c>
      <c r="BG7" s="10" t="s">
        <v>889</v>
      </c>
      <c r="BH7" s="19">
        <f>6.28571428571429*1.27272727272727</f>
        <v>7.9999999999999885</v>
      </c>
      <c r="BJ7" s="10">
        <v>4</v>
      </c>
      <c r="BK7" s="10" t="s">
        <v>890</v>
      </c>
      <c r="BL7" s="19">
        <f>5/6*9/7*2.33333333333333</f>
        <v>2.4999999999999964</v>
      </c>
      <c r="BN7" s="10">
        <v>4</v>
      </c>
      <c r="BO7" s="10" t="s">
        <v>891</v>
      </c>
      <c r="BP7" s="19">
        <f>(1/2+3/4)*1/5</f>
        <v>0.25</v>
      </c>
      <c r="BR7" s="10">
        <v>4</v>
      </c>
      <c r="BS7" s="10" t="s">
        <v>892</v>
      </c>
      <c r="BT7" s="19">
        <f>2/9*13</f>
        <v>2.8888888888888888</v>
      </c>
      <c r="BU7" s="19"/>
      <c r="BV7" s="39">
        <v>4</v>
      </c>
      <c r="BW7" s="82">
        <v>0.42857142857142855</v>
      </c>
      <c r="BX7" s="82">
        <v>0.1</v>
      </c>
      <c r="BY7" s="39">
        <v>1</v>
      </c>
      <c r="BZ7" s="39">
        <v>1</v>
      </c>
      <c r="CA7" s="39">
        <v>140</v>
      </c>
      <c r="CB7" s="39">
        <f t="shared" si="1"/>
        <v>6</v>
      </c>
      <c r="CD7" s="10">
        <v>4</v>
      </c>
      <c r="CE7" s="10" t="s">
        <v>893</v>
      </c>
      <c r="CF7" s="19">
        <f>(3/5)/(6/7)</f>
        <v>0.70000000000000007</v>
      </c>
      <c r="CH7" s="10">
        <v>4</v>
      </c>
      <c r="CI7" s="10" t="s">
        <v>894</v>
      </c>
      <c r="CJ7" s="19">
        <f>6/(5/6)</f>
        <v>7.1999999999999993</v>
      </c>
      <c r="CL7" s="10">
        <v>4</v>
      </c>
      <c r="CM7" s="10" t="s">
        <v>895</v>
      </c>
      <c r="CN7" s="19">
        <f>(5.25)/(6.2)</f>
        <v>0.84677419354838712</v>
      </c>
      <c r="CP7" s="10">
        <v>4</v>
      </c>
      <c r="CQ7" s="10" t="s">
        <v>896</v>
      </c>
      <c r="CR7" s="19">
        <f>(8+3/4)/(4.2)</f>
        <v>2.083333333333333</v>
      </c>
      <c r="CT7" s="10">
        <v>4</v>
      </c>
      <c r="CU7" s="55">
        <v>0.66666666666666663</v>
      </c>
      <c r="CV7" s="10">
        <v>1</v>
      </c>
      <c r="CW7" s="55">
        <v>0.42857142857142855</v>
      </c>
      <c r="CX7" s="55">
        <v>1</v>
      </c>
      <c r="CY7" s="19">
        <f t="shared" si="2"/>
        <v>1.5555555555555556</v>
      </c>
      <c r="DA7" s="10">
        <v>4</v>
      </c>
      <c r="DB7" s="55" t="s">
        <v>238</v>
      </c>
      <c r="DC7" s="19">
        <f>(2/5+3/10-1/20)/(2/3+1/9+5/6)</f>
        <v>0.40344827586206888</v>
      </c>
      <c r="DD7" s="55"/>
    </row>
    <row r="8" spans="1:108">
      <c r="A8" s="10">
        <v>5</v>
      </c>
      <c r="B8" s="10" t="s">
        <v>897</v>
      </c>
      <c r="C8" s="19">
        <f>3/11+7/11+12/11</f>
        <v>2</v>
      </c>
      <c r="E8" s="10">
        <v>5</v>
      </c>
      <c r="F8" s="10" t="s">
        <v>898</v>
      </c>
      <c r="G8" s="19">
        <f>8/26+15/39</f>
        <v>0.69230769230769229</v>
      </c>
      <c r="I8" s="10">
        <v>5</v>
      </c>
      <c r="J8" s="10" t="s">
        <v>899</v>
      </c>
      <c r="K8" s="19">
        <f>12.8333333333333+13.7777777777778</f>
        <v>26.6111111111111</v>
      </c>
      <c r="M8" s="10">
        <v>5</v>
      </c>
      <c r="N8" s="10" t="s">
        <v>900</v>
      </c>
      <c r="O8" s="19">
        <f>8.25+6+3/8</f>
        <v>14.625</v>
      </c>
      <c r="Q8" s="10">
        <v>5</v>
      </c>
      <c r="R8" s="10" t="s">
        <v>901</v>
      </c>
      <c r="S8" s="19">
        <f>9/16-5/16</f>
        <v>0.25</v>
      </c>
      <c r="U8" s="10">
        <v>5</v>
      </c>
      <c r="V8" s="10" t="s">
        <v>902</v>
      </c>
      <c r="W8" s="19">
        <f>3/7-2/49</f>
        <v>0.38775510204081631</v>
      </c>
      <c r="Y8" s="10">
        <v>5</v>
      </c>
      <c r="Z8" s="81" t="s">
        <v>903</v>
      </c>
      <c r="AA8" s="19">
        <f>25-2/13</f>
        <v>24.846153846153847</v>
      </c>
      <c r="AC8" s="10">
        <v>5</v>
      </c>
      <c r="AD8" s="10" t="s">
        <v>904</v>
      </c>
      <c r="AE8" s="19">
        <f>10.8333333333333-2.77777777777778</f>
        <v>8.0555555555555198</v>
      </c>
      <c r="AG8" s="10">
        <v>5</v>
      </c>
      <c r="AH8" s="81" t="s">
        <v>905</v>
      </c>
      <c r="AI8" s="19">
        <f>16-2.7</f>
        <v>13.3</v>
      </c>
      <c r="AJ8" s="19"/>
      <c r="AK8" s="10">
        <v>5</v>
      </c>
      <c r="AL8" s="19">
        <v>27.894736842105264</v>
      </c>
      <c r="AM8" s="19">
        <v>16</v>
      </c>
      <c r="AN8" s="19">
        <f t="shared" si="0"/>
        <v>11.894736842105264</v>
      </c>
      <c r="AO8" s="19"/>
      <c r="AP8" s="10">
        <v>5</v>
      </c>
      <c r="AQ8" s="10" t="s">
        <v>907</v>
      </c>
      <c r="AR8" s="19">
        <f>6/9+15/25-8/15</f>
        <v>0.73333333333333328</v>
      </c>
      <c r="AT8" s="10">
        <v>5</v>
      </c>
      <c r="AU8" s="10" t="s">
        <v>908</v>
      </c>
      <c r="AV8" s="19">
        <f>80-3.6-4.3</f>
        <v>72.100000000000009</v>
      </c>
      <c r="AX8" s="10">
        <v>5</v>
      </c>
      <c r="AY8" s="10" t="s">
        <v>909</v>
      </c>
      <c r="AZ8" s="19">
        <f>9-(1/2-1/3)</f>
        <v>8.8333333333333339</v>
      </c>
      <c r="BB8" s="10">
        <v>5</v>
      </c>
      <c r="BC8" s="10" t="s">
        <v>910</v>
      </c>
      <c r="BD8" s="19">
        <f>18/15*90/36</f>
        <v>3</v>
      </c>
      <c r="BF8" s="10">
        <v>5</v>
      </c>
      <c r="BG8" s="10" t="s">
        <v>911</v>
      </c>
      <c r="BH8" s="19">
        <f>3.16666666666667*2.21052631578947</f>
        <v>6.9999999999999956</v>
      </c>
      <c r="BJ8" s="10">
        <v>5</v>
      </c>
      <c r="BK8" s="10" t="s">
        <v>912</v>
      </c>
      <c r="BL8" s="19">
        <f>1.5*1.66666666666667*6/35</f>
        <v>0.42857142857142949</v>
      </c>
      <c r="BN8" s="10">
        <v>5</v>
      </c>
      <c r="BO8" s="10" t="s">
        <v>913</v>
      </c>
      <c r="BP8" s="19">
        <f>(1-3/8)*1.6</f>
        <v>1</v>
      </c>
      <c r="BR8" s="10">
        <v>5</v>
      </c>
      <c r="BS8" s="10" t="s">
        <v>914</v>
      </c>
      <c r="BT8" s="19">
        <f>11/12*96</f>
        <v>88</v>
      </c>
      <c r="BU8" s="19"/>
      <c r="BV8" s="39">
        <v>5</v>
      </c>
      <c r="BW8" s="82">
        <v>0.375</v>
      </c>
      <c r="BX8" s="82">
        <v>0.6</v>
      </c>
      <c r="BY8" s="39">
        <v>1</v>
      </c>
      <c r="BZ8" s="39">
        <v>1</v>
      </c>
      <c r="CA8" s="39">
        <v>120</v>
      </c>
      <c r="CB8" s="39">
        <f t="shared" si="1"/>
        <v>26.999999999999996</v>
      </c>
      <c r="CD8" s="10">
        <v>5</v>
      </c>
      <c r="CE8" s="10" t="s">
        <v>915</v>
      </c>
      <c r="CF8" s="19">
        <f>(8/9)/(4/3)</f>
        <v>0.66666666666666663</v>
      </c>
      <c r="CH8" s="10">
        <v>5</v>
      </c>
      <c r="CI8" s="10" t="s">
        <v>916</v>
      </c>
      <c r="CJ8" s="19">
        <f>7/(3/5)</f>
        <v>11.666666666666668</v>
      </c>
      <c r="CL8" s="10">
        <v>5</v>
      </c>
      <c r="CM8" s="10" t="s">
        <v>917</v>
      </c>
      <c r="CN8" s="19">
        <f>(7.16666666666667)/(8.14285714285714)</f>
        <v>0.88011695906432807</v>
      </c>
      <c r="CP8" s="10">
        <v>5</v>
      </c>
      <c r="CQ8" s="10" t="s">
        <v>918</v>
      </c>
      <c r="CR8" s="19">
        <f>(4-1/3)/(11/6)</f>
        <v>2</v>
      </c>
      <c r="CT8" s="10">
        <v>5</v>
      </c>
      <c r="CU8" s="55">
        <v>4.333333333333333</v>
      </c>
      <c r="CV8" s="10">
        <v>1</v>
      </c>
      <c r="CW8" s="55">
        <v>6.333333333333333</v>
      </c>
      <c r="CX8" s="55">
        <v>1</v>
      </c>
      <c r="CY8" s="19">
        <f t="shared" si="2"/>
        <v>0.68421052631578949</v>
      </c>
      <c r="DA8" s="10">
        <v>5</v>
      </c>
      <c r="DB8" s="55" t="s">
        <v>239</v>
      </c>
      <c r="DC8" s="19">
        <f>(4.14285714285714 - 2.07142857142857+ 3.5)/(6.66666666666667 + 5.55555555555556-10.0555555555556)</f>
        <v>2.5714285714286156</v>
      </c>
      <c r="DD8" s="55"/>
    </row>
    <row r="9" spans="1:108">
      <c r="A9" s="10">
        <v>6</v>
      </c>
      <c r="B9" s="10" t="s">
        <v>919</v>
      </c>
      <c r="C9" s="19">
        <f>3/4+1/4+5/4+7/4</f>
        <v>4</v>
      </c>
      <c r="E9" s="10">
        <v>6</v>
      </c>
      <c r="F9" s="10" t="s">
        <v>920</v>
      </c>
      <c r="G9" s="19">
        <f>5/4+7/8+1/16</f>
        <v>2.1875</v>
      </c>
      <c r="I9" s="10">
        <v>6</v>
      </c>
      <c r="J9" s="10" t="s">
        <v>921</v>
      </c>
      <c r="K9" s="19">
        <f>1.1+ 1.01</f>
        <v>2.1100000000000003</v>
      </c>
      <c r="M9" s="10">
        <v>6</v>
      </c>
      <c r="N9" s="10" t="s">
        <v>922</v>
      </c>
      <c r="O9" s="19">
        <f>3/48+10+3.2+8</f>
        <v>21.262499999999999</v>
      </c>
      <c r="Q9" s="10">
        <v>6</v>
      </c>
      <c r="R9" s="10" t="s">
        <v>923</v>
      </c>
      <c r="S9" s="19">
        <f>24/35-10/35</f>
        <v>0.4</v>
      </c>
      <c r="U9" s="10">
        <v>6</v>
      </c>
      <c r="V9" s="10" t="s">
        <v>924</v>
      </c>
      <c r="W9" s="19">
        <f>3/8-1/12</f>
        <v>0.29166666666666669</v>
      </c>
      <c r="Y9" s="10">
        <v>6</v>
      </c>
      <c r="Z9" s="81" t="s">
        <v>925</v>
      </c>
      <c r="AA9" s="19">
        <f>30-7/24</f>
        <v>29.708333333333332</v>
      </c>
      <c r="AC9" s="10">
        <v>6</v>
      </c>
      <c r="AD9" s="10" t="s">
        <v>926</v>
      </c>
      <c r="AE9" s="19">
        <f>12.6666666666667-7.09090909090909</f>
        <v>5.5757575757576099</v>
      </c>
      <c r="AG9" s="10">
        <v>6</v>
      </c>
      <c r="AH9" s="81" t="s">
        <v>927</v>
      </c>
      <c r="AI9" s="19">
        <f>18-3.27272727272727</f>
        <v>14.72727272727273</v>
      </c>
      <c r="AJ9" s="19"/>
      <c r="AK9" s="10">
        <v>6</v>
      </c>
      <c r="AL9" s="19">
        <v>35.92</v>
      </c>
      <c r="AM9" s="19">
        <v>18</v>
      </c>
      <c r="AN9" s="19">
        <f t="shared" si="0"/>
        <v>17.920000000000002</v>
      </c>
      <c r="AO9" s="19"/>
      <c r="AP9" s="10">
        <v>6</v>
      </c>
      <c r="AQ9" s="10" t="s">
        <v>929</v>
      </c>
      <c r="AR9" s="19">
        <f>5/6-1/90+4/7</f>
        <v>1.3936507936507936</v>
      </c>
      <c r="AT9" s="10">
        <v>6</v>
      </c>
      <c r="AU9" s="10" t="s">
        <v>930</v>
      </c>
      <c r="AV9" s="19">
        <f>6.06666666666667-4.03333333333333+7/25</f>
        <v>2.3133333333333406</v>
      </c>
      <c r="AX9" s="10">
        <v>6</v>
      </c>
      <c r="AY9" s="10" t="s">
        <v>931</v>
      </c>
      <c r="AZ9" s="19">
        <f>1/6+(1/2-1/8)</f>
        <v>0.54166666666666663</v>
      </c>
      <c r="BB9" s="10">
        <v>6</v>
      </c>
      <c r="BC9" s="10" t="s">
        <v>932</v>
      </c>
      <c r="BD9" s="19">
        <f>21/22*11/49</f>
        <v>0.21428571428571427</v>
      </c>
      <c r="BF9" s="10">
        <v>6</v>
      </c>
      <c r="BG9" s="10" t="s">
        <v>933</v>
      </c>
      <c r="BH9" s="19">
        <f>8.11111111111111*1.02739726027397</f>
        <v>8.3333333333333126</v>
      </c>
      <c r="BJ9" s="10">
        <v>6</v>
      </c>
      <c r="BK9" s="10" t="s">
        <v>934</v>
      </c>
      <c r="BL9" s="19">
        <f>(7/9)*(9/4)*(18/35)</f>
        <v>0.89999999999999991</v>
      </c>
      <c r="BN9" s="10">
        <v>6</v>
      </c>
      <c r="BO9" s="10" t="s">
        <v>935</v>
      </c>
      <c r="BP9" s="19">
        <f>72*(7/8+2/9)</f>
        <v>79</v>
      </c>
      <c r="BR9" s="10">
        <v>6</v>
      </c>
      <c r="BS9" s="10" t="s">
        <v>936</v>
      </c>
      <c r="BT9" s="19">
        <f>9/17*51</f>
        <v>27</v>
      </c>
      <c r="BU9" s="19"/>
      <c r="BV9" s="39">
        <v>6</v>
      </c>
      <c r="BW9" s="82">
        <v>0.2857142857142857</v>
      </c>
      <c r="BX9" s="82">
        <v>0.375</v>
      </c>
      <c r="BY9" s="39">
        <v>1</v>
      </c>
      <c r="BZ9" s="39">
        <v>1</v>
      </c>
      <c r="CA9" s="39">
        <v>112</v>
      </c>
      <c r="CB9" s="39">
        <f t="shared" si="1"/>
        <v>12</v>
      </c>
      <c r="CD9" s="10">
        <v>6</v>
      </c>
      <c r="CE9" s="10" t="s">
        <v>937</v>
      </c>
      <c r="CF9" s="19">
        <f>(6/11)/(5/22)</f>
        <v>2.4</v>
      </c>
      <c r="CH9" s="10">
        <v>6</v>
      </c>
      <c r="CI9" s="10" t="s">
        <v>938</v>
      </c>
      <c r="CJ9" s="19">
        <f>26/(1/8)</f>
        <v>208</v>
      </c>
      <c r="CL9" s="10">
        <v>6</v>
      </c>
      <c r="CM9" s="10" t="s">
        <v>939</v>
      </c>
      <c r="CN9" s="19">
        <f>(2.6)/(3.9)</f>
        <v>0.66666666666666674</v>
      </c>
      <c r="CP9" s="10">
        <v>6</v>
      </c>
      <c r="CQ9" s="10" t="s">
        <v>940</v>
      </c>
      <c r="CR9" s="19">
        <f>(5.25-4)/(1.5)</f>
        <v>0.83333333333333337</v>
      </c>
      <c r="CT9" s="10">
        <v>6</v>
      </c>
      <c r="CU9" s="82">
        <v>0.10526315789473684</v>
      </c>
      <c r="CV9" s="10">
        <v>1</v>
      </c>
      <c r="CW9" s="55">
        <v>6.8</v>
      </c>
      <c r="CX9" s="55">
        <v>1</v>
      </c>
      <c r="CY9" s="19">
        <f t="shared" si="2"/>
        <v>1.5479876160990712E-2</v>
      </c>
      <c r="DA9" s="10">
        <v>6</v>
      </c>
      <c r="DB9" s="82" t="s">
        <v>240</v>
      </c>
      <c r="DC9" s="19">
        <f>(3/4+(5/6)*(3/5))/(1/2-(2/7)*(7/5))</f>
        <v>12.499999999999996</v>
      </c>
      <c r="DD9" s="55"/>
    </row>
    <row r="10" spans="1:108">
      <c r="A10" s="10">
        <v>7</v>
      </c>
      <c r="B10" s="10" t="s">
        <v>941</v>
      </c>
      <c r="C10" s="19">
        <f>1/6+7/6+11/6+13/6</f>
        <v>5.3333333333333339</v>
      </c>
      <c r="E10" s="10">
        <v>7</v>
      </c>
      <c r="F10" s="10" t="s">
        <v>942</v>
      </c>
      <c r="G10" s="19">
        <f>1/2+1/4+1/8</f>
        <v>0.875</v>
      </c>
      <c r="I10" s="10">
        <v>7</v>
      </c>
      <c r="J10" s="10" t="s">
        <v>943</v>
      </c>
      <c r="K10" s="19">
        <f>5.125+6.15</f>
        <v>11.275</v>
      </c>
      <c r="M10" s="10">
        <v>7</v>
      </c>
      <c r="N10" s="10" t="s">
        <v>944</v>
      </c>
      <c r="O10" s="19">
        <f>6+2.03333333333333+5+7.02222222222222</f>
        <v>20.05555555555555</v>
      </c>
      <c r="Q10" s="10">
        <v>7</v>
      </c>
      <c r="R10" s="10" t="s">
        <v>945</v>
      </c>
      <c r="S10" s="19">
        <f>19/42-12/42</f>
        <v>0.16666666666666669</v>
      </c>
      <c r="U10" s="10">
        <v>7</v>
      </c>
      <c r="V10" s="10" t="s">
        <v>946</v>
      </c>
      <c r="W10" s="19">
        <f>7/6-7/8</f>
        <v>0.29166666666666674</v>
      </c>
      <c r="Y10" s="10">
        <v>7</v>
      </c>
      <c r="Z10" s="81" t="s">
        <v>947</v>
      </c>
      <c r="AA10" s="19">
        <f>32-17/80</f>
        <v>31.787500000000001</v>
      </c>
      <c r="AC10" s="10">
        <v>7</v>
      </c>
      <c r="AD10" s="10" t="s">
        <v>948</v>
      </c>
      <c r="AE10" s="19">
        <f>6.76666666666667-2.175</f>
        <v>4.5916666666666703</v>
      </c>
      <c r="AG10" s="10">
        <v>7</v>
      </c>
      <c r="AH10" s="81" t="s">
        <v>949</v>
      </c>
      <c r="AI10" s="19">
        <f>20-4.05</f>
        <v>15.95</v>
      </c>
      <c r="AJ10" s="19"/>
      <c r="AK10" s="10">
        <v>7</v>
      </c>
      <c r="AL10" s="19">
        <v>40.18181818181818</v>
      </c>
      <c r="AM10" s="19">
        <v>17</v>
      </c>
      <c r="AN10" s="19">
        <f t="shared" si="0"/>
        <v>23.18181818181818</v>
      </c>
      <c r="AO10" s="19"/>
      <c r="AP10" s="10">
        <v>7</v>
      </c>
      <c r="AQ10" s="10" t="s">
        <v>951</v>
      </c>
      <c r="AR10" s="19">
        <f>4/41+7/82-1/6</f>
        <v>1.6260162601626021E-2</v>
      </c>
      <c r="AT10" s="10">
        <v>7</v>
      </c>
      <c r="AU10" s="10" t="s">
        <v>952</v>
      </c>
      <c r="AV10" s="19">
        <f>7/20+3.0625-2.2</f>
        <v>1.2124999999999999</v>
      </c>
      <c r="AX10" s="10">
        <v>7</v>
      </c>
      <c r="AY10" s="10" t="s">
        <v>953</v>
      </c>
      <c r="AZ10" s="19">
        <f>50-(6-1/5)</f>
        <v>44.2</v>
      </c>
      <c r="BB10" s="10">
        <v>7</v>
      </c>
      <c r="BC10" s="10" t="s">
        <v>954</v>
      </c>
      <c r="BD10" s="19">
        <f>13/4*72/39</f>
        <v>6</v>
      </c>
      <c r="BF10" s="10">
        <v>7</v>
      </c>
      <c r="BG10" s="10" t="s">
        <v>955</v>
      </c>
      <c r="BH10" s="19">
        <f>14.8*5.83333333333333</f>
        <v>86.3333333333333</v>
      </c>
      <c r="BJ10" s="10">
        <v>7</v>
      </c>
      <c r="BK10" s="10" t="s">
        <v>956</v>
      </c>
      <c r="BL10" s="19">
        <f>11/12*24*7/121</f>
        <v>1.2727272727272727</v>
      </c>
      <c r="BN10" s="10">
        <v>7</v>
      </c>
      <c r="BO10" s="10" t="s">
        <v>957</v>
      </c>
      <c r="BP10" s="19">
        <f>(5.66666666666667-2/9)*3</f>
        <v>16.333333333333343</v>
      </c>
      <c r="BR10" s="10">
        <v>7</v>
      </c>
      <c r="BS10" s="10" t="s">
        <v>958</v>
      </c>
      <c r="BT10" s="19">
        <f>3/4*81</f>
        <v>60.75</v>
      </c>
      <c r="BU10" s="19"/>
      <c r="BV10" s="39">
        <v>7</v>
      </c>
      <c r="BW10" s="82">
        <v>0.45454545454545453</v>
      </c>
      <c r="BX10" s="82">
        <v>0.77777777777777779</v>
      </c>
      <c r="BY10" s="39">
        <v>1</v>
      </c>
      <c r="BZ10" s="39">
        <v>1</v>
      </c>
      <c r="CA10" s="39">
        <v>33</v>
      </c>
      <c r="CB10" s="55">
        <f t="shared" si="1"/>
        <v>11.666666666666666</v>
      </c>
      <c r="CD10" s="10">
        <v>7</v>
      </c>
      <c r="CE10" s="10" t="s">
        <v>959</v>
      </c>
      <c r="CF10" s="19">
        <f>(5/12)/(3/4)</f>
        <v>0.55555555555555558</v>
      </c>
      <c r="CH10" s="10">
        <v>7</v>
      </c>
      <c r="CI10" s="10" t="s">
        <v>960</v>
      </c>
      <c r="CJ10" s="19">
        <f>21/(42/5)</f>
        <v>2.5</v>
      </c>
      <c r="CL10" s="10">
        <v>7</v>
      </c>
      <c r="CM10" s="10" t="s">
        <v>961</v>
      </c>
      <c r="CN10" s="19">
        <f>(1.54545454545455)/(1.83333333333333)</f>
        <v>0.84297520661157432</v>
      </c>
      <c r="CP10" s="10">
        <v>7</v>
      </c>
      <c r="CQ10" s="10" t="s">
        <v>962</v>
      </c>
      <c r="CR10" s="19">
        <f>((5/6)/(3.25))/(1.66666666666667)</f>
        <v>0.15384615384615355</v>
      </c>
      <c r="CT10" s="10">
        <v>7</v>
      </c>
      <c r="CU10" s="55">
        <v>0.625</v>
      </c>
      <c r="CV10" s="10">
        <v>1</v>
      </c>
      <c r="CW10" s="82">
        <v>0.1875</v>
      </c>
      <c r="CX10" s="55">
        <v>1</v>
      </c>
      <c r="CY10" s="19">
        <f t="shared" si="2"/>
        <v>3.3333333333333335</v>
      </c>
      <c r="DA10" s="10">
        <v>7</v>
      </c>
      <c r="DB10" s="55" t="s">
        <v>241</v>
      </c>
      <c r="DC10" s="19">
        <f>(7/8+ 1.25-(3/2)*(4/9))/(2.5 - 1.1 + (1/14)*(7/5))</f>
        <v>0.97222222222222232</v>
      </c>
      <c r="DD10" s="82"/>
    </row>
    <row r="11" spans="1:108">
      <c r="A11" s="10">
        <v>8</v>
      </c>
      <c r="B11" s="10" t="s">
        <v>963</v>
      </c>
      <c r="C11" s="19">
        <f>5/7+8/7+10/7+15/7</f>
        <v>5.4285714285714288</v>
      </c>
      <c r="E11" s="10">
        <v>8</v>
      </c>
      <c r="F11" s="10" t="s">
        <v>964</v>
      </c>
      <c r="G11" s="19">
        <f>7/5+8/15+11/60</f>
        <v>2.1166666666666663</v>
      </c>
      <c r="I11" s="10">
        <v>8</v>
      </c>
      <c r="J11" s="10" t="s">
        <v>965</v>
      </c>
      <c r="K11" s="19">
        <f>8.35+5.44</f>
        <v>13.79</v>
      </c>
      <c r="M11" s="10">
        <v>8</v>
      </c>
      <c r="N11" s="10" t="s">
        <v>966</v>
      </c>
      <c r="O11" s="19">
        <f>2.05+3.125+9+7/36</f>
        <v>14.369444444444445</v>
      </c>
      <c r="Q11" s="10">
        <v>8</v>
      </c>
      <c r="R11" s="10" t="s">
        <v>967</v>
      </c>
      <c r="S11" s="19">
        <f>7/8-5/8-1/8</f>
        <v>0.125</v>
      </c>
      <c r="U11" s="10">
        <v>8</v>
      </c>
      <c r="V11" s="10" t="s">
        <v>968</v>
      </c>
      <c r="W11" s="19">
        <f>11/10-14/15</f>
        <v>0.16666666666666674</v>
      </c>
      <c r="Y11" s="10">
        <v>8</v>
      </c>
      <c r="Z11" s="81" t="s">
        <v>969</v>
      </c>
      <c r="AA11" s="19">
        <f>81-1/90</f>
        <v>80.988888888888894</v>
      </c>
      <c r="AC11" s="10">
        <v>8</v>
      </c>
      <c r="AD11" s="10" t="s">
        <v>970</v>
      </c>
      <c r="AE11" s="19">
        <f>11.375-5.04166666666667</f>
        <v>6.3333333333333304</v>
      </c>
      <c r="AG11" s="10">
        <v>8</v>
      </c>
      <c r="AH11" s="81" t="s">
        <v>971</v>
      </c>
      <c r="AI11" s="19">
        <f>21-5.03333333333333</f>
        <v>15.96666666666667</v>
      </c>
      <c r="AJ11" s="19"/>
      <c r="AK11" s="10">
        <v>8</v>
      </c>
      <c r="AL11" s="19">
        <v>31.036585365853657</v>
      </c>
      <c r="AM11" s="19">
        <v>30</v>
      </c>
      <c r="AN11" s="19">
        <f t="shared" si="0"/>
        <v>1.0365853658536572</v>
      </c>
      <c r="AO11" s="19"/>
      <c r="AP11" s="10">
        <v>8</v>
      </c>
      <c r="AQ11" s="10" t="s">
        <v>973</v>
      </c>
      <c r="AR11" s="19">
        <f>11/26+9/91-3/39</f>
        <v>0.44505494505494508</v>
      </c>
      <c r="AT11" s="10">
        <v>8</v>
      </c>
      <c r="AU11" s="10" t="s">
        <v>974</v>
      </c>
      <c r="AV11" s="19">
        <f>9.66666666666667+5.14583333333333-1/60</f>
        <v>14.795833333333333</v>
      </c>
      <c r="AX11" s="10">
        <v>8</v>
      </c>
      <c r="AY11" s="10" t="s">
        <v>975</v>
      </c>
      <c r="AZ11" s="19">
        <f>27-(3.375-2.25)</f>
        <v>25.875</v>
      </c>
      <c r="BB11" s="10">
        <v>8</v>
      </c>
      <c r="BC11" s="10" t="s">
        <v>976</v>
      </c>
      <c r="BD11" s="19">
        <f>24/102*51/72</f>
        <v>0.16666666666666666</v>
      </c>
      <c r="BF11" s="10">
        <v>8</v>
      </c>
      <c r="BG11" s="10" t="s">
        <v>977</v>
      </c>
      <c r="BH11" s="19">
        <f>1.5*1.33333333333333*1.2</f>
        <v>2.3999999999999937</v>
      </c>
      <c r="BJ11" s="10">
        <v>8</v>
      </c>
      <c r="BK11" s="10" t="s">
        <v>978</v>
      </c>
      <c r="BL11" s="19">
        <f>5/9*7/8*4.33333333333333*4/35</f>
        <v>0.24074074074074059</v>
      </c>
      <c r="BN11" s="10">
        <v>8</v>
      </c>
      <c r="BO11" s="10" t="s">
        <v>979</v>
      </c>
      <c r="BP11" s="19">
        <f>(4+2.6)*1/66</f>
        <v>9.9999999999999992E-2</v>
      </c>
      <c r="BR11" s="10">
        <v>8</v>
      </c>
      <c r="BS11" s="10" t="s">
        <v>980</v>
      </c>
      <c r="BT11" s="19">
        <f>3/5*1/3</f>
        <v>0.19999999999999998</v>
      </c>
      <c r="BU11" s="19"/>
      <c r="BV11" s="39">
        <v>8</v>
      </c>
      <c r="BW11" s="82">
        <v>0.83333333333333337</v>
      </c>
      <c r="BX11" s="82">
        <v>0.5</v>
      </c>
      <c r="BY11" s="39">
        <v>1</v>
      </c>
      <c r="BZ11" s="39">
        <v>1</v>
      </c>
      <c r="CA11" s="39">
        <v>84</v>
      </c>
      <c r="CB11" s="39">
        <f t="shared" si="1"/>
        <v>35</v>
      </c>
      <c r="CD11" s="10">
        <v>8</v>
      </c>
      <c r="CE11" s="10" t="s">
        <v>981</v>
      </c>
      <c r="CF11" s="19">
        <f>(11/14)/(7/22)</f>
        <v>2.4693877551020407</v>
      </c>
      <c r="CH11" s="10">
        <v>8</v>
      </c>
      <c r="CI11" s="10" t="s">
        <v>982</v>
      </c>
      <c r="CJ11" s="19">
        <f>52/(14/65)</f>
        <v>241.42857142857142</v>
      </c>
      <c r="CL11" s="10">
        <v>8</v>
      </c>
      <c r="CM11" s="10" t="s">
        <v>983</v>
      </c>
      <c r="CN11" s="19">
        <f>(1.125)/(3.6)</f>
        <v>0.3125</v>
      </c>
      <c r="CP11" s="10">
        <v>8</v>
      </c>
      <c r="CQ11" s="10" t="s">
        <v>984</v>
      </c>
      <c r="CR11" s="19">
        <f>(3/5)/(2/3+5/6)</f>
        <v>0.39999999999999997</v>
      </c>
      <c r="CT11" s="10">
        <v>8</v>
      </c>
      <c r="CU11" s="55">
        <v>7.75</v>
      </c>
      <c r="CV11" s="10">
        <v>1</v>
      </c>
      <c r="CW11" s="55">
        <v>0.125</v>
      </c>
      <c r="CX11" s="55">
        <v>1</v>
      </c>
      <c r="CY11" s="19">
        <f t="shared" si="2"/>
        <v>62</v>
      </c>
      <c r="DA11" s="10">
        <v>8</v>
      </c>
      <c r="DB11" s="55" t="s">
        <v>242</v>
      </c>
      <c r="DC11" s="19">
        <f>((3/5+1/8-7/24)*3.07692307692308)/(5 - 2/3)</f>
        <v>0.30769230769230799</v>
      </c>
      <c r="DD11" s="55"/>
    </row>
    <row r="12" spans="1:108">
      <c r="A12" s="10">
        <v>9</v>
      </c>
      <c r="B12" s="10" t="s">
        <v>985</v>
      </c>
      <c r="C12" s="19">
        <v>2.6470588235294099</v>
      </c>
      <c r="E12" s="10">
        <v>9</v>
      </c>
      <c r="F12" s="10" t="s">
        <v>986</v>
      </c>
      <c r="G12" s="19">
        <f>9/10+8/15+13/75</f>
        <v>1.6066666666666667</v>
      </c>
      <c r="I12" s="10">
        <v>9</v>
      </c>
      <c r="J12" s="10" t="s">
        <v>987</v>
      </c>
      <c r="K12" s="19">
        <f>3.01538461538462+11.0384615384615</f>
        <v>14.05384615384612</v>
      </c>
      <c r="M12" s="10">
        <v>9</v>
      </c>
      <c r="N12" s="10" t="s">
        <v>988</v>
      </c>
      <c r="O12" s="19">
        <f>7/45+4+11/60+2.01111111111111</f>
        <v>6.35</v>
      </c>
      <c r="Q12" s="10">
        <v>9</v>
      </c>
      <c r="R12" s="10" t="s">
        <v>989</v>
      </c>
      <c r="S12" s="19">
        <f>11/12-7/12-4/12</f>
        <v>0</v>
      </c>
      <c r="U12" s="10">
        <v>9</v>
      </c>
      <c r="V12" s="10" t="s">
        <v>990</v>
      </c>
      <c r="W12" s="19">
        <f>11/12-7/16</f>
        <v>0.47916666666666663</v>
      </c>
      <c r="Y12" s="10">
        <v>9</v>
      </c>
      <c r="Z12" s="81" t="s">
        <v>991</v>
      </c>
      <c r="AA12" s="19">
        <f>93-45/83</f>
        <v>92.4578313253012</v>
      </c>
      <c r="AC12" s="10">
        <v>9</v>
      </c>
      <c r="AD12" s="10" t="s">
        <v>992</v>
      </c>
      <c r="AE12" s="19">
        <f>19.7142857142857-12.0761904761905</f>
        <v>7.6380952380952003</v>
      </c>
      <c r="AG12" s="10">
        <v>9</v>
      </c>
      <c r="AH12" s="81" t="s">
        <v>993</v>
      </c>
      <c r="AI12" s="19">
        <f>31- 6.05714285714286</f>
        <v>24.94285714285714</v>
      </c>
      <c r="AJ12" s="19"/>
      <c r="AK12" s="10">
        <v>9</v>
      </c>
      <c r="AL12" s="19">
        <v>42.04615384615385</v>
      </c>
      <c r="AM12" s="19">
        <v>19</v>
      </c>
      <c r="AN12" s="19">
        <f t="shared" si="0"/>
        <v>23.04615384615385</v>
      </c>
      <c r="AO12" s="19"/>
      <c r="AP12" s="10">
        <v>9</v>
      </c>
      <c r="AQ12" s="10" t="s">
        <v>995</v>
      </c>
      <c r="AR12" s="39" t="s">
        <v>996</v>
      </c>
      <c r="AT12" s="10">
        <v>9</v>
      </c>
      <c r="AU12" s="10" t="s">
        <v>997</v>
      </c>
      <c r="AV12" s="19">
        <f>8.42857142857143+4.05357142857143-1/98</f>
        <v>12.471938775510209</v>
      </c>
      <c r="AX12" s="10">
        <v>9</v>
      </c>
      <c r="AY12" s="10" t="s">
        <v>998</v>
      </c>
      <c r="AZ12" s="19">
        <f>7.6+(6.33333333333333-2/9)</f>
        <v>13.711111111111109</v>
      </c>
      <c r="BB12" s="10">
        <v>9</v>
      </c>
      <c r="BC12" s="10" t="s">
        <v>999</v>
      </c>
      <c r="BD12" s="19">
        <f>2/3*6/7*1/4</f>
        <v>0.14285714285714285</v>
      </c>
      <c r="BF12" s="10">
        <v>9</v>
      </c>
      <c r="BG12" s="10" t="s">
        <v>1000</v>
      </c>
      <c r="BH12" s="19">
        <f>2.83333333333333*3.75*1.05882352941176</f>
        <v>11.249999999999938</v>
      </c>
      <c r="BJ12" s="10">
        <v>9</v>
      </c>
      <c r="BK12" s="10" t="s">
        <v>1001</v>
      </c>
      <c r="BL12" s="19">
        <f>13*5/6*3/10*5/26</f>
        <v>0.625</v>
      </c>
      <c r="BN12" s="10">
        <v>9</v>
      </c>
      <c r="BO12" s="10" t="s">
        <v>1002</v>
      </c>
      <c r="BP12" s="19">
        <f>(8-2/9)*1/35</f>
        <v>0.22222222222222221</v>
      </c>
      <c r="BR12" s="10">
        <v>9</v>
      </c>
      <c r="BS12" s="10" t="s">
        <v>1003</v>
      </c>
      <c r="BT12" s="19">
        <f>2/3*3/5</f>
        <v>0.4</v>
      </c>
      <c r="BU12" s="19"/>
      <c r="BV12" s="39">
        <v>9</v>
      </c>
      <c r="BW12" s="82">
        <v>0.63636363636363635</v>
      </c>
      <c r="BX12" s="82">
        <v>1.2</v>
      </c>
      <c r="BY12" s="39">
        <v>1</v>
      </c>
      <c r="BZ12" s="39">
        <v>1</v>
      </c>
      <c r="CA12" s="39">
        <v>440</v>
      </c>
      <c r="CB12" s="39">
        <f t="shared" si="1"/>
        <v>335.99999999999994</v>
      </c>
      <c r="CD12" s="10">
        <v>9</v>
      </c>
      <c r="CE12" s="10" t="s">
        <v>1004</v>
      </c>
      <c r="CF12" s="19">
        <f>(3/8)/(5/6)</f>
        <v>0.44999999999999996</v>
      </c>
      <c r="CH12" s="10">
        <v>9</v>
      </c>
      <c r="CI12" s="10" t="s">
        <v>1005</v>
      </c>
      <c r="CJ12" s="19">
        <f>(3/8)/5</f>
        <v>7.4999999999999997E-2</v>
      </c>
      <c r="CL12" s="10">
        <v>9</v>
      </c>
      <c r="CM12" s="10" t="s">
        <v>1006</v>
      </c>
      <c r="CN12" s="19">
        <f>(5.66666666666667)/(8.5)</f>
        <v>0.66666666666666696</v>
      </c>
      <c r="CP12" s="10">
        <v>9</v>
      </c>
      <c r="CQ12" s="10" t="s">
        <v>1007</v>
      </c>
      <c r="CR12" s="19">
        <f>(9/10)/(2.33333333333333-1.25)</f>
        <v>0.83076923076923337</v>
      </c>
      <c r="CT12" s="10">
        <v>9</v>
      </c>
      <c r="CU12" s="55">
        <v>5</v>
      </c>
      <c r="CV12" s="10">
        <v>1</v>
      </c>
      <c r="CW12" s="55">
        <v>1</v>
      </c>
      <c r="CX12" s="55">
        <v>0.5</v>
      </c>
      <c r="CY12" s="19">
        <f t="shared" si="2"/>
        <v>2.5</v>
      </c>
      <c r="DA12" s="10">
        <v>9</v>
      </c>
      <c r="DB12" s="55" t="s">
        <v>243</v>
      </c>
      <c r="DC12" s="19">
        <f>(1/10+2/25+3/40)*(1/6)/(1/8-1/12)</f>
        <v>1.0199999999999998</v>
      </c>
      <c r="DD12" s="55"/>
    </row>
    <row r="13" spans="1:108">
      <c r="A13" s="10">
        <v>10</v>
      </c>
      <c r="B13" s="10" t="s">
        <v>1008</v>
      </c>
      <c r="C13" s="19">
        <f>5/21+10/21+23/21+4/21</f>
        <v>2</v>
      </c>
      <c r="E13" s="10">
        <v>10</v>
      </c>
      <c r="F13" s="10" t="s">
        <v>1009</v>
      </c>
      <c r="G13" s="19">
        <f>3/21+1/2+2/49</f>
        <v>0.68367346938775508</v>
      </c>
      <c r="I13" s="10">
        <v>10</v>
      </c>
      <c r="J13" s="10" t="s">
        <v>1010</v>
      </c>
      <c r="K13" s="19">
        <f>7.16363636363636+8.29545454545454</f>
        <v>15.4590909090909</v>
      </c>
      <c r="M13" s="10">
        <v>10</v>
      </c>
      <c r="N13" s="10" t="s">
        <v>1011</v>
      </c>
      <c r="O13" s="19">
        <f>4+7/48+(8.01754385964912)+1/114</f>
        <v>12.172149122807014</v>
      </c>
      <c r="Q13" s="10">
        <v>10</v>
      </c>
      <c r="R13" s="10" t="s">
        <v>1012</v>
      </c>
      <c r="S13" s="19">
        <f>23/25-11/25-7/25</f>
        <v>0.2</v>
      </c>
      <c r="U13" s="10">
        <v>10</v>
      </c>
      <c r="V13" s="10" t="s">
        <v>1013</v>
      </c>
      <c r="W13" s="19">
        <f>7/62-3/155</f>
        <v>9.3548387096774183E-2</v>
      </c>
      <c r="Y13" s="10">
        <v>10</v>
      </c>
      <c r="Z13" s="81" t="s">
        <v>1014</v>
      </c>
      <c r="AA13" s="19">
        <f>106-104/119</f>
        <v>105.12605042016807</v>
      </c>
      <c r="AC13" s="10">
        <v>10</v>
      </c>
      <c r="AD13" s="10" t="s">
        <v>1015</v>
      </c>
      <c r="AE13" s="19">
        <f>14.2444444444444-5.11666666666667</f>
        <v>9.1277777777777303</v>
      </c>
      <c r="AG13" s="10">
        <v>10</v>
      </c>
      <c r="AH13" s="81" t="s">
        <v>1016</v>
      </c>
      <c r="AI13" s="19">
        <f>40-35.2619047619048</f>
        <v>4.7380952380951982</v>
      </c>
      <c r="AJ13" s="19"/>
      <c r="AK13" s="10">
        <v>10</v>
      </c>
      <c r="AL13" s="19">
        <v>53.4375</v>
      </c>
      <c r="AM13" s="19">
        <v>49</v>
      </c>
      <c r="AN13" s="19">
        <f t="shared" si="0"/>
        <v>4.4375</v>
      </c>
      <c r="AO13" s="19"/>
      <c r="AP13" s="10">
        <v>10</v>
      </c>
      <c r="AQ13" s="10" t="s">
        <v>1018</v>
      </c>
      <c r="AR13" s="39" t="s">
        <v>1019</v>
      </c>
      <c r="AT13" s="10">
        <v>10</v>
      </c>
      <c r="AU13" s="10" t="s">
        <v>1020</v>
      </c>
      <c r="AV13" s="19">
        <f>9+5/8-3+2.11111111111111</f>
        <v>8.7361111111111107</v>
      </c>
      <c r="AX13" s="10">
        <v>10</v>
      </c>
      <c r="AY13" s="10" t="s">
        <v>1021</v>
      </c>
      <c r="AZ13" s="19">
        <f>14-(2.5-1.6)</f>
        <v>13.1</v>
      </c>
      <c r="BB13" s="10">
        <v>10</v>
      </c>
      <c r="BC13" s="10" t="s">
        <v>1022</v>
      </c>
      <c r="BD13" s="19">
        <f>3/4*4/5*5/6</f>
        <v>0.5</v>
      </c>
      <c r="BF13" s="10">
        <v>10</v>
      </c>
      <c r="BG13" s="10" t="s">
        <v>1023</v>
      </c>
      <c r="BH13" s="19">
        <f>9.22222222222222*1.01204819277108*2.14285714285714</f>
        <v>19.999999999999883</v>
      </c>
      <c r="BJ13" s="10">
        <v>10</v>
      </c>
      <c r="BK13" s="10" t="s">
        <v>1024</v>
      </c>
      <c r="BL13" s="19">
        <f>2.33333333333333*3.25*4.2*1/637</f>
        <v>4.9999999999999926E-2</v>
      </c>
      <c r="BN13" s="10">
        <v>10</v>
      </c>
      <c r="BO13" s="10" t="s">
        <v>1025</v>
      </c>
      <c r="BP13" s="19">
        <f>(16.6-7/10)*1/159</f>
        <v>0.10000000000000002</v>
      </c>
      <c r="BR13" s="10">
        <v>10</v>
      </c>
      <c r="BS13" s="10" t="s">
        <v>1026</v>
      </c>
      <c r="BT13" s="19">
        <f>6/5*2/9</f>
        <v>0.26666666666666666</v>
      </c>
      <c r="BU13" s="19"/>
      <c r="BV13" s="39">
        <v>10</v>
      </c>
      <c r="BW13" s="82">
        <v>0.375</v>
      </c>
      <c r="BX13" s="82">
        <v>0.66666666666666663</v>
      </c>
      <c r="BY13" s="55">
        <v>0.5</v>
      </c>
      <c r="BZ13" s="39">
        <v>1</v>
      </c>
      <c r="CA13" s="39">
        <v>96</v>
      </c>
      <c r="CB13" s="39">
        <f t="shared" si="1"/>
        <v>12</v>
      </c>
      <c r="CD13" s="10">
        <v>10</v>
      </c>
      <c r="CE13" s="10" t="s">
        <v>1027</v>
      </c>
      <c r="CF13" s="19">
        <f>(19/21)/(38/7)</f>
        <v>0.16666666666666666</v>
      </c>
      <c r="CH13" s="10">
        <v>10</v>
      </c>
      <c r="CI13" s="10" t="s">
        <v>1028</v>
      </c>
      <c r="CJ13" s="19">
        <f>(6/7)/9</f>
        <v>9.5238095238095233E-2</v>
      </c>
      <c r="CL13" s="10">
        <v>10</v>
      </c>
      <c r="CM13" s="10" t="s">
        <v>1029</v>
      </c>
      <c r="CN13" s="19">
        <f>(7.75)/(5.375)</f>
        <v>1.441860465116279</v>
      </c>
      <c r="CP13" s="10">
        <v>10</v>
      </c>
      <c r="CQ13" s="10" t="s">
        <v>1030</v>
      </c>
      <c r="CR13" s="19">
        <f>(5/6)/(2/3*6/5)</f>
        <v>1.0416666666666667</v>
      </c>
      <c r="CT13" s="10">
        <v>10</v>
      </c>
      <c r="CU13" s="55">
        <v>15</v>
      </c>
      <c r="CV13" s="10">
        <v>1</v>
      </c>
      <c r="CW13" s="55">
        <v>1</v>
      </c>
      <c r="CX13" s="55">
        <v>0.25</v>
      </c>
      <c r="CY13" s="19">
        <f t="shared" si="2"/>
        <v>3.75</v>
      </c>
      <c r="DA13" s="10">
        <v>10</v>
      </c>
      <c r="DB13" s="55" t="s">
        <v>244</v>
      </c>
      <c r="DC13" s="19">
        <f>(5.19444444444444- 4.05555555555556+ 1.01388888888889)*36/(78 - 1/2)</f>
        <v>0.99999999999999667</v>
      </c>
      <c r="DD13" s="55"/>
    </row>
    <row r="14" spans="1:108">
      <c r="A14" s="10">
        <v>11</v>
      </c>
      <c r="B14" s="10" t="s">
        <v>1031</v>
      </c>
      <c r="C14" s="19">
        <f>5/24+7/24+11/24+13/24+17/24</f>
        <v>2.2083333333333335</v>
      </c>
      <c r="E14" s="10">
        <v>11</v>
      </c>
      <c r="F14" s="10" t="s">
        <v>1032</v>
      </c>
      <c r="G14" s="19">
        <f>3/5+7/4+11/6</f>
        <v>4.1833333333333336</v>
      </c>
      <c r="I14" s="10">
        <v>11</v>
      </c>
      <c r="J14" s="10" t="s">
        <v>1033</v>
      </c>
      <c r="K14" s="19">
        <f>5.8+6.4+8.6</f>
        <v>20.799999999999997</v>
      </c>
      <c r="M14" s="10">
        <v>11</v>
      </c>
      <c r="N14" s="10" t="s">
        <v>1034</v>
      </c>
      <c r="O14" s="19">
        <f>(1/4+1/2+1/3)+1/6</f>
        <v>1.25</v>
      </c>
      <c r="Q14" s="10">
        <v>11</v>
      </c>
      <c r="R14" s="10" t="s">
        <v>1035</v>
      </c>
      <c r="S14" s="19">
        <f>46/51-20/51-9/51</f>
        <v>0.33333333333333326</v>
      </c>
      <c r="U14" s="10">
        <v>11</v>
      </c>
      <c r="V14" s="10" t="s">
        <v>1036</v>
      </c>
      <c r="W14" s="19">
        <f>7/80-1/90</f>
        <v>7.6388888888888881E-2</v>
      </c>
      <c r="Y14" s="10">
        <v>11</v>
      </c>
      <c r="Z14" s="81" t="s">
        <v>1037</v>
      </c>
      <c r="AA14" s="19">
        <f>125-1/125</f>
        <v>124.992</v>
      </c>
      <c r="AC14" s="10">
        <v>11</v>
      </c>
      <c r="AD14" s="10" t="s">
        <v>1038</v>
      </c>
      <c r="AE14" s="19">
        <f>9.16666666666667-7.66666666666667</f>
        <v>1.5</v>
      </c>
      <c r="AG14" s="10">
        <v>11</v>
      </c>
      <c r="AH14" s="81" t="s">
        <v>1039</v>
      </c>
      <c r="AI14" s="19">
        <f>50-18.9473684210526</f>
        <v>31.052631578947398</v>
      </c>
      <c r="AJ14" s="19"/>
      <c r="AK14" s="19"/>
      <c r="AL14" s="19"/>
      <c r="AM14" s="19"/>
      <c r="AP14" s="10">
        <v>11</v>
      </c>
      <c r="AQ14" s="10" t="s">
        <v>1040</v>
      </c>
      <c r="AR14" s="19">
        <f>1/4-1/5+1/6-1/8</f>
        <v>9.1666666666666646E-2</v>
      </c>
      <c r="AT14" s="10">
        <v>11</v>
      </c>
      <c r="AU14" s="10" t="s">
        <v>1041</v>
      </c>
      <c r="AV14" s="19">
        <f>16.3333333333333-14.4+7.22222222222222</f>
        <v>9.1555555555555195</v>
      </c>
      <c r="AX14" s="10">
        <v>11</v>
      </c>
      <c r="AY14" s="10" t="s">
        <v>1042</v>
      </c>
      <c r="AZ14" s="19">
        <f>18-(1/2+1/3+1/4)</f>
        <v>16.916666666666668</v>
      </c>
      <c r="BB14" s="10">
        <v>11</v>
      </c>
      <c r="BC14" s="10" t="s">
        <v>1043</v>
      </c>
      <c r="BD14" s="19">
        <f>6/7*7/8*8/9</f>
        <v>0.66666666666666663</v>
      </c>
      <c r="BF14" s="10">
        <v>11</v>
      </c>
      <c r="BG14" s="10" t="s">
        <v>1044</v>
      </c>
      <c r="BH14" s="19">
        <f>8.33333333333333*5.25*1.12</f>
        <v>48.999999999999986</v>
      </c>
      <c r="BJ14" s="10">
        <v>11</v>
      </c>
      <c r="BK14" s="10" t="s">
        <v>1045</v>
      </c>
      <c r="BL14" s="19">
        <f>11/18*2.11111111111111*36*1/38</f>
        <v>1.2222222222222217</v>
      </c>
      <c r="BN14" s="10">
        <v>11</v>
      </c>
      <c r="BO14" s="10" t="s">
        <v>1046</v>
      </c>
      <c r="BP14" s="19">
        <f>(1/8+5.25-1/20)*9.0625</f>
        <v>48.2578125</v>
      </c>
      <c r="BR14" s="10">
        <v>11</v>
      </c>
      <c r="BS14" s="10" t="s">
        <v>1047</v>
      </c>
      <c r="BT14" s="19">
        <f>11/7*35/22</f>
        <v>2.5</v>
      </c>
      <c r="BU14" s="19"/>
      <c r="BV14" s="39">
        <v>11</v>
      </c>
      <c r="BW14" s="82">
        <v>0.83333333333333337</v>
      </c>
      <c r="BX14" s="82">
        <v>0.6</v>
      </c>
      <c r="BY14" s="39">
        <v>3</v>
      </c>
      <c r="BZ14" s="39">
        <v>1</v>
      </c>
      <c r="CA14" s="39">
        <v>40</v>
      </c>
      <c r="CB14" s="39">
        <f t="shared" si="1"/>
        <v>60</v>
      </c>
      <c r="CD14" s="10">
        <v>11</v>
      </c>
      <c r="CE14" s="10" t="s">
        <v>1048</v>
      </c>
      <c r="CF14" s="19">
        <f>(3/4)/(4/3)</f>
        <v>0.5625</v>
      </c>
      <c r="CH14" s="10">
        <v>11</v>
      </c>
      <c r="CI14" s="10" t="s">
        <v>1049</v>
      </c>
      <c r="CJ14" s="19">
        <f>(11/12)/44</f>
        <v>2.0833333333333332E-2</v>
      </c>
      <c r="CL14" s="10">
        <v>11</v>
      </c>
      <c r="CM14" s="10" t="s">
        <v>1050</v>
      </c>
      <c r="CN14" s="19">
        <f>(1.2962962962963)/(1.11111111111111)</f>
        <v>1.1666666666666712</v>
      </c>
      <c r="CP14" s="10">
        <v>11</v>
      </c>
      <c r="CQ14" s="10" t="s">
        <v>1051</v>
      </c>
      <c r="CR14" s="19">
        <f>(1-1/3)/(1-1/5)</f>
        <v>0.83333333333333337</v>
      </c>
      <c r="CT14" s="10">
        <v>11</v>
      </c>
      <c r="CU14" s="55">
        <v>16</v>
      </c>
      <c r="CV14" s="10">
        <v>1</v>
      </c>
      <c r="CW14" s="55">
        <v>1</v>
      </c>
      <c r="CX14" s="55">
        <v>0.25</v>
      </c>
      <c r="CY14" s="19">
        <f t="shared" si="2"/>
        <v>4</v>
      </c>
      <c r="DA14" s="10">
        <v>11</v>
      </c>
      <c r="DB14" s="55" t="s">
        <v>245</v>
      </c>
      <c r="DC14" s="83">
        <f>(6.125-1/20-1/55)/(2/7)/((1/3-1/12)*4.8)</f>
        <v>17.665719696969699</v>
      </c>
      <c r="DD14" s="81" t="s">
        <v>286</v>
      </c>
    </row>
    <row r="15" spans="1:108">
      <c r="A15" s="10">
        <v>12</v>
      </c>
      <c r="B15" s="10" t="s">
        <v>1052</v>
      </c>
      <c r="C15" s="19">
        <f>18/53+32/53+40/53+1/53+16/53</f>
        <v>2.0188679245283021</v>
      </c>
      <c r="E15" s="10">
        <v>12</v>
      </c>
      <c r="F15" s="10" t="s">
        <v>1053</v>
      </c>
      <c r="G15" s="19">
        <f>1/12+1/16+1/18</f>
        <v>0.20138888888888887</v>
      </c>
      <c r="I15" s="10">
        <v>12</v>
      </c>
      <c r="J15" s="10" t="s">
        <v>1054</v>
      </c>
      <c r="K15" s="19">
        <f>8.11111111111111+10.7777777777778+16.1111111111111</f>
        <v>35.000000000000014</v>
      </c>
      <c r="M15" s="10">
        <v>12</v>
      </c>
      <c r="N15" s="10" t="s">
        <v>1055</v>
      </c>
      <c r="O15" s="19">
        <f>(3/80+5/40)+(5/4+1/8)</f>
        <v>1.5375000000000001</v>
      </c>
      <c r="Q15" s="10">
        <v>12</v>
      </c>
      <c r="R15" s="10" t="s">
        <v>1056</v>
      </c>
      <c r="S15" s="19">
        <f>35/84-19/84-8/84</f>
        <v>9.5238095238095261E-2</v>
      </c>
      <c r="U15" s="10">
        <v>12</v>
      </c>
      <c r="V15" s="10" t="s">
        <v>1057</v>
      </c>
      <c r="W15" s="19">
        <f>11/150-2/175</f>
        <v>6.1904761904761907E-2</v>
      </c>
      <c r="Y15" s="10">
        <v>12</v>
      </c>
      <c r="Z15" s="81" t="s">
        <v>1058</v>
      </c>
      <c r="AA15" s="19">
        <f>215-3/119</f>
        <v>214.9747899159664</v>
      </c>
      <c r="AC15" s="10">
        <v>12</v>
      </c>
      <c r="AD15" s="10" t="s">
        <v>1059</v>
      </c>
      <c r="AE15" s="19">
        <f>8.125-2.75</f>
        <v>5.375</v>
      </c>
      <c r="AG15" s="10">
        <v>12</v>
      </c>
      <c r="AH15" s="81" t="s">
        <v>1060</v>
      </c>
      <c r="AI15" s="19">
        <f>60-36.9111111111111</f>
        <v>23.088888888888903</v>
      </c>
      <c r="AJ15" s="19"/>
      <c r="AK15" s="19"/>
      <c r="AL15" s="19"/>
      <c r="AM15" s="19"/>
      <c r="AP15" s="10">
        <v>12</v>
      </c>
      <c r="AQ15" s="10" t="s">
        <v>1061</v>
      </c>
      <c r="AR15" s="19">
        <f>1/6-1/7+1/12-1/14</f>
        <v>3.5714285714285712E-2</v>
      </c>
      <c r="AT15" s="10">
        <v>12</v>
      </c>
      <c r="AU15" s="10" t="s">
        <v>1062</v>
      </c>
      <c r="AV15" s="19">
        <f>9.375-4.025+6.01666666666667</f>
        <v>11.366666666666671</v>
      </c>
      <c r="AX15" s="10">
        <v>12</v>
      </c>
      <c r="AY15" s="10" t="s">
        <v>1063</v>
      </c>
      <c r="AZ15" s="19">
        <f>500-(1/8+9/5-3/40)</f>
        <v>498.15</v>
      </c>
      <c r="BB15" s="10">
        <v>12</v>
      </c>
      <c r="BC15" s="10" t="s">
        <v>1064</v>
      </c>
      <c r="BD15" s="19">
        <f>7/19*19/13*26/21</f>
        <v>0.66666666666666663</v>
      </c>
      <c r="BF15" s="10">
        <v>12</v>
      </c>
      <c r="BG15" s="10" t="s">
        <v>1065</v>
      </c>
      <c r="BH15" s="19">
        <f>10.1*3.00990099009901*1.01973684210526</f>
        <v>30.999999999999901</v>
      </c>
      <c r="BJ15" s="10">
        <v>12</v>
      </c>
      <c r="BK15" s="10" t="s">
        <v>1066</v>
      </c>
      <c r="BL15" s="19">
        <f>7.66666666666667*11/46*1/121*66</f>
        <v>1.0000000000000004</v>
      </c>
      <c r="BN15" s="10">
        <v>12</v>
      </c>
      <c r="BO15" s="10" t="s">
        <v>1067</v>
      </c>
      <c r="BP15" s="19">
        <f>(1.75-1/8-1/16)*2/3</f>
        <v>1.0416666666666667</v>
      </c>
      <c r="BR15" s="10">
        <v>12</v>
      </c>
      <c r="BS15" s="10" t="s">
        <v>1068</v>
      </c>
      <c r="BT15" s="19">
        <f>18/41*164</f>
        <v>72</v>
      </c>
      <c r="BU15" s="19"/>
      <c r="BV15" s="39">
        <v>12</v>
      </c>
      <c r="BW15" s="82">
        <v>0.25</v>
      </c>
      <c r="BX15" s="82">
        <v>0.83333333333333337</v>
      </c>
      <c r="BY15" s="55">
        <v>0.125</v>
      </c>
      <c r="BZ15" s="39">
        <v>1</v>
      </c>
      <c r="CA15" s="39">
        <v>16</v>
      </c>
      <c r="CB15" s="19">
        <f t="shared" si="1"/>
        <v>0.41666666666666669</v>
      </c>
      <c r="CD15" s="10">
        <v>12</v>
      </c>
      <c r="CE15" s="10" t="s">
        <v>1069</v>
      </c>
      <c r="CF15" s="19">
        <f>(21/30)/(6/7)</f>
        <v>0.81666666666666665</v>
      </c>
      <c r="CH15" s="10">
        <v>12</v>
      </c>
      <c r="CI15" s="10" t="s">
        <v>1070</v>
      </c>
      <c r="CJ15" s="19">
        <f>(13/50)/39</f>
        <v>6.6666666666666671E-3</v>
      </c>
      <c r="CL15" s="10">
        <v>12</v>
      </c>
      <c r="CM15" s="10" t="s">
        <v>1071</v>
      </c>
      <c r="CN15" s="19">
        <f>(8.75)/(13.3333333333333)</f>
        <v>0.65625000000000167</v>
      </c>
      <c r="CP15" s="10">
        <v>12</v>
      </c>
      <c r="CQ15" s="10" t="s">
        <v>1072</v>
      </c>
      <c r="CR15" s="19">
        <f>(2+7/8)/(2-1/9)</f>
        <v>1.5220588235294119</v>
      </c>
      <c r="CT15" s="10">
        <v>12</v>
      </c>
      <c r="CU15" s="55">
        <v>1</v>
      </c>
      <c r="CV15" s="55">
        <v>0.2</v>
      </c>
      <c r="CW15" s="55">
        <v>15</v>
      </c>
      <c r="CX15" s="55">
        <v>1</v>
      </c>
      <c r="CY15" s="19">
        <f t="shared" si="2"/>
        <v>0.33333333333333331</v>
      </c>
      <c r="DA15" s="10">
        <v>12</v>
      </c>
      <c r="DB15" s="55" t="s">
        <v>246</v>
      </c>
      <c r="DC15" s="55">
        <f>(9/(1/(1/3))*4/5)*(5/12)/(6/(1/(1/2)))</f>
        <v>0.33333333333333331</v>
      </c>
      <c r="DD15" s="55"/>
    </row>
    <row r="16" spans="1:108">
      <c r="A16" s="10">
        <v>13</v>
      </c>
      <c r="B16" s="10" t="s">
        <v>1073</v>
      </c>
      <c r="C16" s="19">
        <f>41/79+37/79+25/79+71/79+63/79</f>
        <v>3</v>
      </c>
      <c r="E16" s="10">
        <v>13</v>
      </c>
      <c r="F16" s="10" t="s">
        <v>1074</v>
      </c>
      <c r="G16" s="19">
        <f>7/50+11/40+13/60</f>
        <v>0.63166666666666671</v>
      </c>
      <c r="I16" s="10">
        <v>13</v>
      </c>
      <c r="J16" s="10" t="s">
        <v>1075</v>
      </c>
      <c r="K16" s="19">
        <f>1.5+2.33333333333333+1.16666666666667</f>
        <v>5</v>
      </c>
      <c r="M16" s="10">
        <v>13</v>
      </c>
      <c r="N16" s="10" t="s">
        <v>1076</v>
      </c>
      <c r="O16" s="19">
        <f>(3+2.6)+(4.33333333333333+3/20)</f>
        <v>10.08333333333333</v>
      </c>
      <c r="Q16" s="10">
        <v>13</v>
      </c>
      <c r="R16" s="10" t="s">
        <v>1077</v>
      </c>
      <c r="S16" s="19">
        <f>7/2-1/2-3/2-1/2</f>
        <v>1</v>
      </c>
      <c r="U16" s="10">
        <v>13</v>
      </c>
      <c r="V16" s="10" t="s">
        <v>1078</v>
      </c>
      <c r="W16" s="19">
        <f>93/120-83/150</f>
        <v>0.22166666666666668</v>
      </c>
      <c r="Y16" s="10">
        <v>13</v>
      </c>
      <c r="Z16" s="81" t="s">
        <v>1079</v>
      </c>
      <c r="AA16" s="19">
        <f>316-11/415</f>
        <v>315.97349397590364</v>
      </c>
      <c r="AC16" s="10">
        <v>13</v>
      </c>
      <c r="AD16" s="10" t="s">
        <v>1080</v>
      </c>
      <c r="AE16" s="19">
        <f>25.14-14.24</f>
        <v>10.9</v>
      </c>
      <c r="AG16" s="10">
        <v>13</v>
      </c>
      <c r="AH16" s="81" t="s">
        <v>1081</v>
      </c>
      <c r="AI16" s="19">
        <f>70-46.9203539823009</f>
        <v>23.079646017699098</v>
      </c>
      <c r="AJ16" s="19"/>
      <c r="AK16" s="19"/>
      <c r="AL16" s="19"/>
      <c r="AM16" s="19"/>
      <c r="AP16" s="10">
        <v>13</v>
      </c>
      <c r="AQ16" s="10" t="s">
        <v>1082</v>
      </c>
      <c r="AR16" s="19">
        <f>1/9+1/15-1/6+1/30</f>
        <v>4.4444444444444432E-2</v>
      </c>
      <c r="AT16" s="10">
        <v>13</v>
      </c>
      <c r="AU16" s="10" t="s">
        <v>1083</v>
      </c>
      <c r="AV16" s="19">
        <f>14.28-6.06+8.275</f>
        <v>16.494999999999997</v>
      </c>
      <c r="AX16" s="10">
        <v>13</v>
      </c>
      <c r="AY16" s="10" t="s">
        <v>1084</v>
      </c>
      <c r="AZ16" s="19">
        <f>16.2-(1/5+1/10-1/20)</f>
        <v>15.95</v>
      </c>
      <c r="BB16" s="10">
        <v>13</v>
      </c>
      <c r="BC16" s="10" t="s">
        <v>1085</v>
      </c>
      <c r="BD16" s="19">
        <f>23/34*17/28*7/69</f>
        <v>4.1666666666666664E-2</v>
      </c>
      <c r="BF16" s="10">
        <v>13</v>
      </c>
      <c r="BG16" s="10" t="s">
        <v>1086</v>
      </c>
      <c r="BH16" s="19">
        <f>1.2*1.11111111111111*1.125*1.6</f>
        <v>2.3999999999999977</v>
      </c>
      <c r="BJ16" s="10">
        <v>13</v>
      </c>
      <c r="BK16" s="10" t="s">
        <v>1087</v>
      </c>
      <c r="BL16" s="19">
        <f>19*5.21428571428571*2/73*7/19</f>
        <v>0.99999999999999911</v>
      </c>
      <c r="BN16" s="10">
        <v>13</v>
      </c>
      <c r="BO16" s="10" t="s">
        <v>1088</v>
      </c>
      <c r="BP16" s="19">
        <f>(7.22222222222222+5.16666666666667-12.2777777777778)*27</f>
        <v>2.9999999999994138</v>
      </c>
      <c r="BR16" s="10">
        <v>13</v>
      </c>
      <c r="BS16" s="10" t="s">
        <v>1089</v>
      </c>
      <c r="BT16" s="19">
        <f>3/8*3.33333333333333</f>
        <v>1.2499999999999987</v>
      </c>
      <c r="BU16" s="19"/>
      <c r="BV16" s="39">
        <v>13</v>
      </c>
      <c r="BW16" s="82">
        <v>0.55555555555555558</v>
      </c>
      <c r="BX16" s="82">
        <v>0.2</v>
      </c>
      <c r="BY16" s="55">
        <v>0.7142857142857143</v>
      </c>
      <c r="BZ16" s="39">
        <v>2</v>
      </c>
      <c r="CA16" s="39">
        <v>50</v>
      </c>
      <c r="CB16" s="19">
        <f t="shared" si="1"/>
        <v>7.9365079365079376</v>
      </c>
      <c r="CD16" s="10">
        <v>13</v>
      </c>
      <c r="CE16" s="10" t="s">
        <v>1090</v>
      </c>
      <c r="CF16" s="19">
        <f>(25/32)/(5/8)</f>
        <v>1.25</v>
      </c>
      <c r="CH16" s="10">
        <v>13</v>
      </c>
      <c r="CI16" s="10" t="s">
        <v>1091</v>
      </c>
      <c r="CJ16" s="19">
        <f>(50/73)/14</f>
        <v>4.8923679060665359E-2</v>
      </c>
      <c r="CL16" s="10">
        <v>13</v>
      </c>
      <c r="CM16" s="10" t="s">
        <v>1092</v>
      </c>
      <c r="CN16" s="19">
        <f>(6.42857142857143)/(1.07142857142857)</f>
        <v>6.0000000000000089</v>
      </c>
      <c r="CP16" s="10">
        <v>13</v>
      </c>
      <c r="CQ16" s="10" t="s">
        <v>1093</v>
      </c>
      <c r="CR16" s="19">
        <f>(7+3.125)/(14+6.25)</f>
        <v>0.5</v>
      </c>
      <c r="CT16" s="10">
        <v>13</v>
      </c>
      <c r="CU16" s="55">
        <v>1</v>
      </c>
      <c r="CV16" s="55">
        <v>0.83333333333333337</v>
      </c>
      <c r="CW16" s="55">
        <v>15</v>
      </c>
      <c r="CX16" s="55">
        <v>1</v>
      </c>
      <c r="CY16" s="19">
        <f t="shared" si="2"/>
        <v>0.08</v>
      </c>
      <c r="DA16" s="10">
        <v>13</v>
      </c>
      <c r="DB16" s="55" t="s">
        <v>247</v>
      </c>
      <c r="DC16" s="55">
        <f>(2/(3/5)+4/(6/7))/(1/(1/5)-1/(1/3))</f>
        <v>4</v>
      </c>
      <c r="DD16" s="55"/>
    </row>
    <row r="17" spans="1:108">
      <c r="A17" s="10">
        <v>14</v>
      </c>
      <c r="B17" s="10" t="s">
        <v>1094</v>
      </c>
      <c r="C17" s="19">
        <f>17/84+3/84+5/84+11/84+6/84</f>
        <v>0.5</v>
      </c>
      <c r="E17" s="10">
        <v>14</v>
      </c>
      <c r="F17" s="10" t="s">
        <v>1095</v>
      </c>
      <c r="G17" s="19">
        <f>8/60+13/90+7/120</f>
        <v>0.33611111111111114</v>
      </c>
      <c r="I17" s="10">
        <v>14</v>
      </c>
      <c r="J17" s="10" t="s">
        <v>1096</v>
      </c>
      <c r="K17" s="19">
        <f>5.75+6.33333333333333+8.08333333333333</f>
        <v>20.166666666666661</v>
      </c>
      <c r="M17" s="10">
        <v>14</v>
      </c>
      <c r="N17" s="10" t="s">
        <v>1097</v>
      </c>
      <c r="O17" s="19">
        <f>(7/8+5/32)+(6.16666666666667+7.25)</f>
        <v>14.44791666666667</v>
      </c>
      <c r="Q17" s="10">
        <v>14</v>
      </c>
      <c r="R17" s="10" t="s">
        <v>1098</v>
      </c>
      <c r="S17" s="19">
        <f>13/8-3/8-5/8-1/8</f>
        <v>0.5</v>
      </c>
      <c r="U17" s="10">
        <v>14</v>
      </c>
      <c r="V17" s="10" t="s">
        <v>1099</v>
      </c>
      <c r="W17" s="19">
        <f>101/114-97/171</f>
        <v>0.31871345029239762</v>
      </c>
      <c r="Y17" s="10">
        <v>14</v>
      </c>
      <c r="Z17" s="81" t="s">
        <v>1100</v>
      </c>
      <c r="AA17" s="19">
        <f>819-7/735</f>
        <v>818.99047619047622</v>
      </c>
      <c r="AC17" s="10">
        <v>14</v>
      </c>
      <c r="AD17" s="10" t="s">
        <v>1101</v>
      </c>
      <c r="AE17" s="19">
        <f>80.375-53.5555555555556</f>
        <v>26.8194444444444</v>
      </c>
      <c r="AG17" s="10">
        <v>14</v>
      </c>
      <c r="AH17" s="81" t="s">
        <v>1102</v>
      </c>
      <c r="AI17" s="19">
        <f>95-51.8338870431894</f>
        <v>43.166112956810601</v>
      </c>
      <c r="AJ17" s="19"/>
      <c r="AK17" s="19"/>
      <c r="AL17" s="19"/>
      <c r="AM17" s="19"/>
      <c r="AP17" s="10">
        <v>14</v>
      </c>
      <c r="AQ17" s="10" t="s">
        <v>1103</v>
      </c>
      <c r="AR17" s="19">
        <f>2/40+7/80-11/36+13/72</f>
        <v>1.2499999999999983E-2</v>
      </c>
      <c r="AT17" s="10">
        <v>14</v>
      </c>
      <c r="AU17" s="10" t="s">
        <v>1104</v>
      </c>
      <c r="AV17" s="19">
        <f>16.3571428571429+7.14285714285714-5.05357142857143</f>
        <v>18.446428571428608</v>
      </c>
      <c r="AX17" s="10">
        <v>14</v>
      </c>
      <c r="AY17" s="10" t="s">
        <v>1105</v>
      </c>
      <c r="AZ17" s="19">
        <f>7.4+(3.5-1.33333333333333+1/6)</f>
        <v>9.7333333333333378</v>
      </c>
      <c r="BB17" s="10">
        <v>14</v>
      </c>
      <c r="BC17" s="10" t="s">
        <v>1106</v>
      </c>
      <c r="BD17" s="19">
        <f>90/51*41/108*34/82</f>
        <v>0.27777777777777773</v>
      </c>
      <c r="BF17" s="10">
        <v>14</v>
      </c>
      <c r="BG17" s="10" t="s">
        <v>1107</v>
      </c>
      <c r="BH17" s="19">
        <f>2.14285714285714*2.8*3.33333333333333*4.5</f>
        <v>89.999999999999787</v>
      </c>
      <c r="BJ17" s="10">
        <v>14</v>
      </c>
      <c r="BK17" s="10" t="s">
        <v>1108</v>
      </c>
      <c r="BL17" s="19">
        <f>36*1/84*14/9*1/6</f>
        <v>0.1111111111111111</v>
      </c>
      <c r="BN17" s="10">
        <v>14</v>
      </c>
      <c r="BO17" s="10" t="s">
        <v>1109</v>
      </c>
      <c r="BP17" s="81" t="s">
        <v>1110</v>
      </c>
      <c r="BR17" s="10">
        <v>14</v>
      </c>
      <c r="BS17" s="10" t="s">
        <v>1111</v>
      </c>
      <c r="BT17" s="19">
        <f>5/9*2.25</f>
        <v>1.25</v>
      </c>
      <c r="BU17" s="19"/>
      <c r="BV17" s="39">
        <v>14</v>
      </c>
      <c r="BW17" s="82">
        <v>0.44444444444444442</v>
      </c>
      <c r="BX17" s="82">
        <v>0.83333333333333337</v>
      </c>
      <c r="BY17" s="55">
        <v>0.5</v>
      </c>
      <c r="BZ17" s="39">
        <v>3</v>
      </c>
      <c r="CA17" s="39">
        <v>200</v>
      </c>
      <c r="CB17" s="19">
        <f t="shared" si="1"/>
        <v>111.11111111111111</v>
      </c>
      <c r="CD17" s="10">
        <v>14</v>
      </c>
      <c r="CE17" s="10" t="s">
        <v>1112</v>
      </c>
      <c r="CF17" s="19">
        <f>(30/41)/(3/82)</f>
        <v>20</v>
      </c>
      <c r="CH17" s="10">
        <v>14</v>
      </c>
      <c r="CI17" s="10" t="s">
        <v>1113</v>
      </c>
      <c r="CJ17" s="19">
        <f>(81/97)/18</f>
        <v>4.6391752577319589E-2</v>
      </c>
      <c r="CL17" s="10">
        <v>14</v>
      </c>
      <c r="CM17" s="10" t="s">
        <v>1114</v>
      </c>
      <c r="CN17" s="19">
        <f>(5.55555555555556)/(3.63636363636364)</f>
        <v>1.5277777777777775</v>
      </c>
      <c r="CP17" s="10">
        <v>14</v>
      </c>
      <c r="CQ17" s="10" t="s">
        <v>1115</v>
      </c>
      <c r="CR17" s="19">
        <f>(60-1/8)/(30-1/16)</f>
        <v>2</v>
      </c>
      <c r="CT17" s="10">
        <v>14</v>
      </c>
      <c r="CU17" s="55">
        <v>1</v>
      </c>
      <c r="CV17" s="55">
        <v>0.6</v>
      </c>
      <c r="CW17" s="55">
        <v>1</v>
      </c>
      <c r="CX17" s="55">
        <v>0.375</v>
      </c>
      <c r="CY17" s="19">
        <f t="shared" si="2"/>
        <v>0.62500000000000011</v>
      </c>
      <c r="DA17" s="10">
        <v>14</v>
      </c>
      <c r="DB17" s="55" t="s">
        <v>248</v>
      </c>
      <c r="DC17" s="19">
        <f>(1/(1/3)-1/(1/2))/(2/(1/5)+4/(1/10))</f>
        <v>0.02</v>
      </c>
      <c r="DD17" s="55"/>
    </row>
    <row r="18" spans="1:108">
      <c r="E18" s="10">
        <v>15</v>
      </c>
      <c r="F18" s="10" t="s">
        <v>1116</v>
      </c>
      <c r="G18" s="19">
        <f>5/14+7/70+3/98</f>
        <v>0.48775510204081635</v>
      </c>
      <c r="I18" s="10">
        <v>15</v>
      </c>
      <c r="J18" s="10" t="s">
        <v>1117</v>
      </c>
      <c r="K18" s="19">
        <f>2.2+4.1+8.12</f>
        <v>14.419999999999998</v>
      </c>
      <c r="M18" s="10">
        <v>15</v>
      </c>
      <c r="N18" s="10" t="s">
        <v>1118</v>
      </c>
      <c r="O18" s="19">
        <f>(9+1/18)+(7/24+6)</f>
        <v>15.347222222222221</v>
      </c>
      <c r="Q18" s="10">
        <v>15</v>
      </c>
      <c r="R18" s="10" t="s">
        <v>1119</v>
      </c>
      <c r="S18" s="19">
        <f>19/21-2/21-4/21-6/21</f>
        <v>0.33333333333333337</v>
      </c>
      <c r="U18" s="10">
        <v>15</v>
      </c>
      <c r="V18" s="10" t="s">
        <v>1120</v>
      </c>
      <c r="W18" s="19">
        <f>57/160-17/224</f>
        <v>0.28035714285714286</v>
      </c>
      <c r="AC18" s="10">
        <v>15</v>
      </c>
      <c r="AD18" s="10" t="s">
        <v>1121</v>
      </c>
      <c r="AE18" s="19">
        <f>115.185185185185-101.777777777778</f>
        <v>13.407407407407007</v>
      </c>
      <c r="AG18" s="10">
        <v>15</v>
      </c>
      <c r="AH18" s="81" t="s">
        <v>1122</v>
      </c>
      <c r="AI18" s="19">
        <f>104-79.9318885448916</f>
        <v>24.068111455108394</v>
      </c>
      <c r="AJ18" s="19"/>
      <c r="AK18" s="19"/>
      <c r="AL18" s="19"/>
      <c r="AM18" s="19"/>
      <c r="AP18" s="10">
        <v>15</v>
      </c>
      <c r="AQ18" s="10" t="s">
        <v>1123</v>
      </c>
      <c r="AR18" s="19">
        <f>1/50-2/75+7/150-1/180</f>
        <v>3.4444444444444444E-2</v>
      </c>
      <c r="AT18" s="10">
        <v>15</v>
      </c>
      <c r="AU18" s="10" t="s">
        <v>1124</v>
      </c>
      <c r="AV18" s="19">
        <f>4.33333333333333-2+3-1/9</f>
        <v>5.2222222222222197</v>
      </c>
      <c r="AX18" s="10">
        <v>15</v>
      </c>
      <c r="AY18" s="10" t="s">
        <v>1125</v>
      </c>
      <c r="AZ18" s="19">
        <f>1/8+(4.06666666666667-1/60+3/80)</f>
        <v>4.212500000000003</v>
      </c>
      <c r="BB18" s="10">
        <v>15</v>
      </c>
      <c r="BC18" s="10" t="s">
        <v>1126</v>
      </c>
      <c r="BD18" s="19">
        <f>2/3*6/5*10/9*1/8</f>
        <v>0.1111111111111111</v>
      </c>
      <c r="BF18" s="10">
        <v>15</v>
      </c>
      <c r="BG18" s="10" t="s">
        <v>1127</v>
      </c>
      <c r="BH18" s="19">
        <f>3.25*1.33333333333333*1.42307692307692*1.02702702702703</f>
        <v>6.3333333333333224</v>
      </c>
      <c r="BJ18" s="10">
        <v>15</v>
      </c>
      <c r="BK18" s="10" t="s">
        <v>1128</v>
      </c>
      <c r="BL18" s="19">
        <f>5.125*1/82*6.33333333333333*48</f>
        <v>18.999999999999993</v>
      </c>
      <c r="BN18" s="10">
        <v>15</v>
      </c>
      <c r="BO18" s="10" t="s">
        <v>1129</v>
      </c>
      <c r="BP18" s="19">
        <f>(2+1/4)*(6-1/30)</f>
        <v>13.425000000000001</v>
      </c>
      <c r="BR18" s="10">
        <v>15</v>
      </c>
      <c r="BS18" s="10" t="s">
        <v>1130</v>
      </c>
      <c r="BT18" s="19">
        <f>7/10*9.14285714285714</f>
        <v>6.3999999999999977</v>
      </c>
      <c r="BU18" s="19"/>
      <c r="BV18" s="39">
        <v>15</v>
      </c>
      <c r="BW18" s="82">
        <v>0.75</v>
      </c>
      <c r="BX18" s="82">
        <v>0.3</v>
      </c>
      <c r="BY18" s="82">
        <v>0.58333333333333337</v>
      </c>
      <c r="BZ18" s="55">
        <v>0.2</v>
      </c>
      <c r="CA18" s="55">
        <v>5.333333333333333</v>
      </c>
      <c r="CB18" s="19">
        <f t="shared" si="1"/>
        <v>0.14000000000000001</v>
      </c>
      <c r="CD18" s="10">
        <v>15</v>
      </c>
      <c r="CE18" s="10" t="s">
        <v>1131</v>
      </c>
      <c r="CF18" s="19">
        <f>(50/61)/(25/183)</f>
        <v>6</v>
      </c>
      <c r="CH18" s="10">
        <v>15</v>
      </c>
      <c r="CI18" s="10" t="s">
        <v>1132</v>
      </c>
      <c r="CJ18" s="19">
        <f>(16/41)/16</f>
        <v>2.4390243902439025E-2</v>
      </c>
      <c r="CL18" s="10">
        <v>15</v>
      </c>
      <c r="CM18" s="10" t="s">
        <v>1133</v>
      </c>
      <c r="CN18" s="19">
        <f>(5.54545454545454)/(2.59090909090909)</f>
        <v>2.1403508771929811</v>
      </c>
      <c r="CP18" s="10">
        <v>15</v>
      </c>
      <c r="CQ18" s="10" t="s">
        <v>1134</v>
      </c>
      <c r="CR18" s="19">
        <f>(5/8*10/50)/(10.0833333333333)</f>
        <v>1.2396694214876073E-2</v>
      </c>
      <c r="CT18" s="10">
        <v>15</v>
      </c>
      <c r="CU18" s="55">
        <v>1</v>
      </c>
      <c r="CV18" s="55">
        <v>5.75</v>
      </c>
      <c r="CW18" s="55">
        <v>1</v>
      </c>
      <c r="CX18" s="55">
        <v>4.2</v>
      </c>
      <c r="CY18" s="19">
        <f t="shared" si="2"/>
        <v>0.73043478260869565</v>
      </c>
      <c r="DA18" s="10">
        <v>15</v>
      </c>
      <c r="DB18" s="55" t="s">
        <v>249</v>
      </c>
      <c r="DC18" s="19">
        <f>((1/2)/(1/3)+(1/4)/(1/5)-(1/5)/(1/6))/((1/6)/(1/7)+(1/4)/(1/8)-(1/8)/(1/9))</f>
        <v>0.75918367346938753</v>
      </c>
      <c r="DD18" s="55"/>
    </row>
    <row r="19" spans="1:108">
      <c r="E19" s="10">
        <v>16</v>
      </c>
      <c r="F19" s="10" t="s">
        <v>1135</v>
      </c>
      <c r="G19" s="81" t="s">
        <v>1136</v>
      </c>
      <c r="I19" s="10">
        <v>16</v>
      </c>
      <c r="J19" s="10" t="s">
        <v>1137</v>
      </c>
      <c r="K19" s="19">
        <f>3.75+5.55555555555556+7.08333333333333</f>
        <v>16.388888888888893</v>
      </c>
      <c r="M19" s="10">
        <v>16</v>
      </c>
      <c r="N19" s="10" t="s">
        <v>1138</v>
      </c>
      <c r="O19" s="19">
        <f>(7.6+4.08333333333333+ 1.04166666666667)+(6+1/18)</f>
        <v>18.780555555555555</v>
      </c>
      <c r="S19" s="19"/>
      <c r="U19" s="10">
        <v>16</v>
      </c>
      <c r="V19" s="10" t="s">
        <v>1139</v>
      </c>
      <c r="W19" s="19">
        <f>1/2-1/8-1/40</f>
        <v>0.35</v>
      </c>
      <c r="AC19" s="10">
        <v>16</v>
      </c>
      <c r="AD19" s="10" t="s">
        <v>1140</v>
      </c>
      <c r="AE19" s="19">
        <f>182.144444444444-116.275</f>
        <v>65.869444444443985</v>
      </c>
      <c r="AP19" s="10">
        <v>16</v>
      </c>
      <c r="AQ19" s="10" t="s">
        <v>1141</v>
      </c>
      <c r="AR19" s="19">
        <f>7/20+11/320+1/160-3/80</f>
        <v>0.35312499999999997</v>
      </c>
      <c r="AT19" s="10">
        <v>16</v>
      </c>
      <c r="AU19" s="10" t="s">
        <v>1142</v>
      </c>
      <c r="AV19" s="19">
        <f>9+1/4-1/2+3</f>
        <v>11.75</v>
      </c>
      <c r="AX19" s="10">
        <v>16</v>
      </c>
      <c r="AY19" s="10" t="s">
        <v>1143</v>
      </c>
      <c r="AZ19" s="19">
        <f>6.75-(2.11111111111111-1/18+1)</f>
        <v>3.6944444444444455</v>
      </c>
      <c r="BB19" s="10">
        <v>16</v>
      </c>
      <c r="BC19" s="10" t="s">
        <v>1144</v>
      </c>
      <c r="BD19" s="19">
        <f>7/8*8/11*22/14*1/4</f>
        <v>0.25</v>
      </c>
      <c r="BF19" s="10">
        <v>16</v>
      </c>
      <c r="BG19" s="10" t="s">
        <v>1145</v>
      </c>
      <c r="BH19" s="19">
        <f>6.33333333333333*2.25*3.2*2.05263157894737</f>
        <v>93.600000000000023</v>
      </c>
      <c r="BJ19" s="10">
        <v>16</v>
      </c>
      <c r="BK19" s="10" t="s">
        <v>1146</v>
      </c>
      <c r="BL19" s="19">
        <f>9.33333333333333*7.71428571428571*20.3333333333333*1/1708</f>
        <v>0.85714285714285499</v>
      </c>
      <c r="BN19" s="10">
        <v>16</v>
      </c>
      <c r="BO19" s="10" t="s">
        <v>1147</v>
      </c>
      <c r="BP19" s="19">
        <f>(2-1/4)*(6+1/30)</f>
        <v>10.558333333333334</v>
      </c>
      <c r="BR19" s="10">
        <v>16</v>
      </c>
      <c r="BS19" s="10" t="s">
        <v>1148</v>
      </c>
      <c r="BT19" s="19">
        <f>10/11* 2.44444444444444</f>
        <v>2.2222222222222183</v>
      </c>
      <c r="BU19" s="19"/>
      <c r="BV19" s="39"/>
      <c r="BW19" s="19"/>
      <c r="BX19" s="19"/>
      <c r="BY19" s="19"/>
      <c r="BZ19" s="19"/>
      <c r="CA19" s="19"/>
      <c r="CB19" s="19"/>
      <c r="CD19" s="10">
        <v>16</v>
      </c>
      <c r="CE19" s="10" t="s">
        <v>1149</v>
      </c>
      <c r="CF19" s="19">
        <f>(72/91)/(6/13)</f>
        <v>1.7142857142857142</v>
      </c>
      <c r="CL19" s="10">
        <v>16</v>
      </c>
      <c r="CM19" s="10" t="s">
        <v>1150</v>
      </c>
      <c r="CN19" s="19">
        <f>(3.38709677419355)/(2.41935483870968)</f>
        <v>1.399999999999999</v>
      </c>
      <c r="CP19" s="10">
        <v>16</v>
      </c>
      <c r="CQ19" s="10" t="s">
        <v>1151</v>
      </c>
      <c r="CR19" s="19">
        <f>(10/(5/6))/(10.28125)</f>
        <v>1.1671732522796352</v>
      </c>
      <c r="CT19" s="10">
        <v>16</v>
      </c>
      <c r="CU19" s="55">
        <v>3</v>
      </c>
      <c r="CV19" s="55">
        <v>0.75</v>
      </c>
      <c r="CW19" s="55">
        <v>1</v>
      </c>
      <c r="CX19" s="82">
        <v>0.16666666666666666</v>
      </c>
      <c r="CY19" s="19">
        <f t="shared" si="2"/>
        <v>0.66666666666666663</v>
      </c>
      <c r="DA19" s="10">
        <v>16</v>
      </c>
      <c r="DB19" s="55" t="s">
        <v>250</v>
      </c>
      <c r="DC19" s="84">
        <f>((2-1/3)/8+(5/6)/3)/(((5/(1/8))*((1/5)/(1/10))))</f>
        <v>6.0763888888888899E-3</v>
      </c>
      <c r="DD19" s="81" t="s">
        <v>261</v>
      </c>
    </row>
    <row r="20" spans="1:108">
      <c r="E20" s="10">
        <v>17</v>
      </c>
      <c r="F20" s="10" t="s">
        <v>1152</v>
      </c>
      <c r="G20" s="19">
        <f>2/3+5/7+2/21+4/63</f>
        <v>1.5396825396825398</v>
      </c>
      <c r="I20" s="10">
        <v>17</v>
      </c>
      <c r="J20" s="10" t="s">
        <v>1153</v>
      </c>
      <c r="K20" s="19">
        <f>4.16666666666667+3.1+2.06666666666667</f>
        <v>9.3333333333333393</v>
      </c>
      <c r="M20" s="10">
        <v>17</v>
      </c>
      <c r="N20" s="10" t="s">
        <v>1154</v>
      </c>
      <c r="O20" s="19">
        <f>(1/28+7/14+5/56)+(1+1/112)</f>
        <v>1.6339285714285714</v>
      </c>
      <c r="U20" s="10">
        <v>17</v>
      </c>
      <c r="V20" s="10" t="s">
        <v>1155</v>
      </c>
      <c r="W20" s="19">
        <f>3/15-1/45-1/90</f>
        <v>0.16666666666666669</v>
      </c>
      <c r="AC20" s="10">
        <v>17</v>
      </c>
      <c r="AD20" s="10" t="s">
        <v>1156</v>
      </c>
      <c r="AE20" s="19">
        <f>215.2875-183.14</f>
        <v>32.147500000000008</v>
      </c>
      <c r="AP20" s="10">
        <v>17</v>
      </c>
      <c r="AQ20" s="10" t="s">
        <v>1157</v>
      </c>
      <c r="AR20" s="19">
        <f>13/2-1/32-1/64-1/128</f>
        <v>6.4453125</v>
      </c>
      <c r="AT20" s="10">
        <v>17</v>
      </c>
      <c r="AU20" s="10" t="s">
        <v>1158</v>
      </c>
      <c r="AV20" s="19">
        <f>6+5.33333333333333-4.16666666666667-1.5</f>
        <v>5.6666666666666607</v>
      </c>
      <c r="AX20" s="10">
        <v>17</v>
      </c>
      <c r="AY20" s="10" t="s">
        <v>1159</v>
      </c>
      <c r="AZ20" s="19">
        <f>(1/2+1/3)-5/6</f>
        <v>0</v>
      </c>
      <c r="BB20" s="10">
        <v>17</v>
      </c>
      <c r="BC20" s="10" t="s">
        <v>1160</v>
      </c>
      <c r="BD20" s="19">
        <f>5/6*7/10*3/14*1/5</f>
        <v>2.5000000000000001E-2</v>
      </c>
      <c r="BF20" s="10">
        <v>17</v>
      </c>
      <c r="BG20" s="10" t="s">
        <v>1161</v>
      </c>
      <c r="BH20" s="19">
        <f>1.28571428571429*1.55555555555556*2.16666666666667*2.57142857142857</f>
        <v>11.142857142857222</v>
      </c>
      <c r="BJ20" s="10">
        <v>17</v>
      </c>
      <c r="BK20" s="10" t="s">
        <v>1162</v>
      </c>
      <c r="BL20" s="19">
        <f>11/36*18/121*2.6*1/169*715</f>
        <v>0.50000000000000011</v>
      </c>
      <c r="BN20" s="10">
        <v>17</v>
      </c>
      <c r="BO20" s="10" t="s">
        <v>1163</v>
      </c>
      <c r="BP20" s="19">
        <f>(2/3-1/4)*(2/3+3/4)</f>
        <v>0.59027777777777768</v>
      </c>
      <c r="BR20" s="10">
        <v>17</v>
      </c>
      <c r="BS20" s="10" t="s">
        <v>1164</v>
      </c>
      <c r="BT20" s="19">
        <f>5/13*5.41666666666667</f>
        <v>2.0833333333333344</v>
      </c>
      <c r="BU20" s="19"/>
      <c r="BV20" s="39"/>
      <c r="BW20" s="19"/>
      <c r="BX20" s="19"/>
      <c r="BY20" s="19"/>
      <c r="BZ20" s="19"/>
      <c r="CA20" s="19"/>
      <c r="CB20" s="19"/>
      <c r="CD20" s="10">
        <v>17</v>
      </c>
      <c r="CE20" s="10" t="s">
        <v>1165</v>
      </c>
      <c r="CF20" s="19">
        <f>(104/105)/(75/36)</f>
        <v>0.47542857142857142</v>
      </c>
      <c r="CL20" s="10">
        <v>17</v>
      </c>
      <c r="CM20" s="10" t="s">
        <v>1166</v>
      </c>
      <c r="CN20" s="19">
        <f>(1.07339449541284)/(1.61009174311927)</f>
        <v>0.66666666666666252</v>
      </c>
      <c r="CP20" s="10">
        <v>17</v>
      </c>
      <c r="CQ20" s="10" t="s">
        <v>1167</v>
      </c>
      <c r="CR20" s="19">
        <f>(3/5*10/9*3/4)/(3.5)</f>
        <v>0.14285714285714285</v>
      </c>
      <c r="CT20" s="10">
        <v>17</v>
      </c>
      <c r="CU20" s="55">
        <v>6</v>
      </c>
      <c r="CV20" s="55">
        <v>0.625</v>
      </c>
      <c r="CW20" s="55">
        <v>0.6</v>
      </c>
      <c r="CX20" s="55">
        <v>2</v>
      </c>
      <c r="CY20" s="19">
        <f t="shared" si="2"/>
        <v>32</v>
      </c>
      <c r="DA20" s="10">
        <v>17</v>
      </c>
      <c r="DB20" s="55" t="s">
        <v>251</v>
      </c>
      <c r="DC20" s="19">
        <f>((3/4)/(1/6)+ (5.66666666666667)/(1/12))/(6+(8-1/4))+3</f>
        <v>8.2727272727272769</v>
      </c>
      <c r="DD20" s="55"/>
    </row>
    <row r="21" spans="1:108">
      <c r="E21" s="10">
        <v>18</v>
      </c>
      <c r="F21" s="10" t="s">
        <v>1168</v>
      </c>
      <c r="G21" s="19">
        <f>3/4+5/8+2/5+3/10</f>
        <v>2.0749999999999997</v>
      </c>
      <c r="I21" s="10">
        <v>18</v>
      </c>
      <c r="J21" s="10" t="s">
        <v>1169</v>
      </c>
      <c r="K21" s="19">
        <f>1.125+5.15+6.5</f>
        <v>12.775</v>
      </c>
      <c r="M21" s="10">
        <v>18</v>
      </c>
      <c r="N21" s="10" t="s">
        <v>1170</v>
      </c>
      <c r="O21" s="19">
        <f>(6+1/32+4.2)+(1/16+2.1)</f>
        <v>12.393749999999999</v>
      </c>
      <c r="U21" s="10">
        <v>18</v>
      </c>
      <c r="V21" s="10" t="s">
        <v>1171</v>
      </c>
      <c r="W21" s="19">
        <f>3/2-2/121-5/11</f>
        <v>1.0289256198347108</v>
      </c>
      <c r="AC21" s="10">
        <v>18</v>
      </c>
      <c r="AD21" s="10" t="s">
        <v>1172</v>
      </c>
      <c r="AE21" s="19">
        <f>312.122222222222-219.138888888889</f>
        <v>92.983333333332979</v>
      </c>
      <c r="AP21" s="10">
        <v>18</v>
      </c>
      <c r="AQ21" s="10" t="s">
        <v>1173</v>
      </c>
      <c r="AR21" s="19">
        <f>15/16-1/48-1/96-1/80</f>
        <v>0.89375000000000004</v>
      </c>
      <c r="AT21" s="10">
        <v>18</v>
      </c>
      <c r="AU21" s="10" t="s">
        <v>1174</v>
      </c>
      <c r="AV21" s="19">
        <f>3.2-5/8+7/40-1</f>
        <v>1.75</v>
      </c>
      <c r="AX21" s="10">
        <v>18</v>
      </c>
      <c r="AY21" s="10" t="s">
        <v>1175</v>
      </c>
      <c r="AZ21" s="19">
        <f>(2/3+3/4+1/12)-1.5</f>
        <v>0</v>
      </c>
      <c r="BB21" s="10">
        <v>18</v>
      </c>
      <c r="BC21" s="10" t="s">
        <v>1176</v>
      </c>
      <c r="BD21" s="19">
        <f>3/5*17/19*5/34*38/75</f>
        <v>0.04</v>
      </c>
      <c r="BF21" s="10">
        <v>18</v>
      </c>
      <c r="BG21" s="10" t="s">
        <v>1177</v>
      </c>
      <c r="BH21" s="19">
        <f>8.4*2.57142857142857*7.11111111111111*2.7</f>
        <v>414.71999999999969</v>
      </c>
      <c r="BJ21" s="10">
        <v>18</v>
      </c>
      <c r="BK21" s="10" t="s">
        <v>1178</v>
      </c>
      <c r="BL21" s="19">
        <f>7.22222222222222*18*5/13*6.33333333333333*1/20</f>
        <v>15.83333333333332</v>
      </c>
      <c r="BN21" s="10">
        <v>18</v>
      </c>
      <c r="BO21" s="10" t="s">
        <v>1179</v>
      </c>
      <c r="BP21" s="19">
        <f>(7.4+5.16666666666667)*(28.25+1.75)</f>
        <v>377.00000000000011</v>
      </c>
      <c r="BR21" s="10">
        <v>18</v>
      </c>
      <c r="BS21" s="10" t="s">
        <v>1180</v>
      </c>
      <c r="BT21" s="19">
        <f>7/29*84.1</f>
        <v>20.3</v>
      </c>
      <c r="BU21" s="19"/>
      <c r="BV21" s="39"/>
      <c r="BW21" s="19"/>
      <c r="BX21" s="19"/>
      <c r="BY21" s="19"/>
      <c r="BZ21" s="19"/>
      <c r="CA21" s="19"/>
      <c r="CB21" s="19"/>
      <c r="CD21" s="10">
        <v>18</v>
      </c>
      <c r="CE21" s="10" t="s">
        <v>1181</v>
      </c>
      <c r="CF21" s="19">
        <f>(150/136)/(135/180)</f>
        <v>1.4705882352941178</v>
      </c>
      <c r="CL21" s="10">
        <v>18</v>
      </c>
      <c r="CM21" s="10" t="s">
        <v>1182</v>
      </c>
      <c r="CN21" s="19">
        <f>(4.02)/(24.12)</f>
        <v>0.16666666666666663</v>
      </c>
      <c r="CP21" s="10">
        <v>18</v>
      </c>
      <c r="CQ21" s="10" t="s">
        <v>1183</v>
      </c>
      <c r="CR21" s="19">
        <f>(1/2+3/4-1/8)/(1.6)</f>
        <v>0.703125</v>
      </c>
      <c r="CT21" s="10">
        <v>18</v>
      </c>
      <c r="CU21" s="55">
        <v>0.66666666666666663</v>
      </c>
      <c r="CV21" s="55">
        <v>0.6</v>
      </c>
      <c r="CW21" s="55">
        <v>0.16666666666666666</v>
      </c>
      <c r="CX21" s="55">
        <v>0.4</v>
      </c>
      <c r="CY21" s="19">
        <f t="shared" si="2"/>
        <v>2.666666666666667</v>
      </c>
      <c r="DA21" s="10">
        <v>18</v>
      </c>
      <c r="DB21" s="55" t="s">
        <v>252</v>
      </c>
      <c r="DC21" s="19">
        <f>(8/(1/4)+2-(1/2)/(1/4))/(3/((5/3)*(6/5)))</f>
        <v>21.333333333333332</v>
      </c>
      <c r="DD21" s="55"/>
    </row>
    <row r="22" spans="1:108">
      <c r="E22" s="10">
        <v>19</v>
      </c>
      <c r="F22" s="10" t="s">
        <v>1184</v>
      </c>
      <c r="G22" s="19">
        <f>7/20+3/40+1/80+3/15</f>
        <v>0.63749999999999996</v>
      </c>
      <c r="I22" s="10">
        <v>19</v>
      </c>
      <c r="J22" s="10" t="s">
        <v>1185</v>
      </c>
      <c r="K22" s="19">
        <f>6.03703703703704+4.05555555555556+1.01851851851852</f>
        <v>11.111111111111118</v>
      </c>
      <c r="M22" s="10">
        <v>19</v>
      </c>
      <c r="N22" s="10" t="s">
        <v>1186</v>
      </c>
      <c r="O22" s="19">
        <f>(1/5+1/3+1/6+1/30)+(1/10+3/25+4/50)</f>
        <v>1.0333333333333332</v>
      </c>
      <c r="U22" s="10">
        <v>19</v>
      </c>
      <c r="V22" s="10" t="s">
        <v>1187</v>
      </c>
      <c r="W22" s="81" t="s">
        <v>1188</v>
      </c>
      <c r="AC22" s="10">
        <v>19</v>
      </c>
      <c r="AD22" s="10" t="s">
        <v>1189</v>
      </c>
      <c r="AE22" s="19">
        <f>301.066666666667-300.0875</f>
        <v>0.97916666666702667</v>
      </c>
      <c r="AP22" s="10">
        <v>19</v>
      </c>
      <c r="AQ22" s="10" t="s">
        <v>1190</v>
      </c>
      <c r="AR22" s="39" t="s">
        <v>1191</v>
      </c>
      <c r="AT22" s="10">
        <v>19</v>
      </c>
      <c r="AU22" s="10" t="s">
        <v>1192</v>
      </c>
      <c r="AV22" s="19">
        <f>6.05263157894737-2.07894736842105+5.01315789473684-1/2</f>
        <v>8.4868421052631593</v>
      </c>
      <c r="AX22" s="10">
        <v>19</v>
      </c>
      <c r="AY22" s="10" t="s">
        <v>1193</v>
      </c>
      <c r="AZ22" s="19">
        <f>(1/2-1/3)-1/6</f>
        <v>0</v>
      </c>
      <c r="BF22" s="10">
        <v>19</v>
      </c>
      <c r="BG22" s="10" t="s">
        <v>1194</v>
      </c>
      <c r="BH22" s="19">
        <f>9.14285714285714*1.43518518518519*3.54098360655738*15.5*1.61290322580645</f>
        <v>1161.5925058548044</v>
      </c>
      <c r="BJ22" s="10">
        <v>19</v>
      </c>
      <c r="BK22" s="10" t="s">
        <v>1195</v>
      </c>
      <c r="BL22" s="19">
        <f>5.06451612903226*11/157*62/77*21*1.16666666666667</f>
        <v>7.0000000000000222</v>
      </c>
      <c r="BN22" s="10">
        <v>19</v>
      </c>
      <c r="BO22" s="10" t="s">
        <v>1196</v>
      </c>
      <c r="BP22" s="19">
        <f>(11.1-10)*(13-9.4)</f>
        <v>3.9599999999999982</v>
      </c>
      <c r="BV22" s="39"/>
      <c r="CD22" s="10">
        <v>19</v>
      </c>
      <c r="CE22" s="10" t="s">
        <v>1197</v>
      </c>
      <c r="CF22" s="19">
        <f>(216/316)/(1080/948)</f>
        <v>0.6</v>
      </c>
      <c r="CL22" s="10">
        <v>19</v>
      </c>
      <c r="CM22" s="10" t="s">
        <v>1198</v>
      </c>
      <c r="CN22" s="19">
        <f>(1.21153846153846)/(7.26923076923077)</f>
        <v>0.16666666666666644</v>
      </c>
      <c r="CP22" s="10">
        <v>19</v>
      </c>
      <c r="CQ22" s="10" t="s">
        <v>1199</v>
      </c>
      <c r="CR22" s="19">
        <f>(2.33333333333333+3.25-3.125)/(1/12)</f>
        <v>29.499999999999964</v>
      </c>
      <c r="CT22" s="10">
        <v>19</v>
      </c>
      <c r="CU22" s="55">
        <v>5.666666666666667</v>
      </c>
      <c r="CV22" s="55">
        <v>0.25</v>
      </c>
      <c r="CW22" s="55">
        <v>6.5</v>
      </c>
      <c r="CX22" s="55">
        <v>0.16666666666666666</v>
      </c>
      <c r="CY22" s="19">
        <f t="shared" si="2"/>
        <v>0.58119658119658124</v>
      </c>
      <c r="DA22" s="10">
        <v>19</v>
      </c>
      <c r="DB22" s="55" t="s">
        <v>253</v>
      </c>
      <c r="DC22" s="55">
        <f>((1+1/2)/3+(1-1/3)/2)*(23.5/(47/12))/(2.5/(5/6)-(1/3)/(1/6))</f>
        <v>5</v>
      </c>
      <c r="DD22" s="55"/>
    </row>
    <row r="23" spans="1:108">
      <c r="E23" s="10">
        <v>20</v>
      </c>
      <c r="F23" s="10" t="s">
        <v>1200</v>
      </c>
      <c r="G23" s="19">
        <f>2/300+5/500+2/1000+7/250</f>
        <v>4.6666666666666662E-2</v>
      </c>
      <c r="I23" s="10">
        <v>20</v>
      </c>
      <c r="J23" s="10" t="s">
        <v>1201</v>
      </c>
      <c r="K23" s="19">
        <f>1.02380952380952+3.07142857142857+10.1309523809524</f>
        <v>14.226190476190489</v>
      </c>
      <c r="M23" s="10">
        <v>20</v>
      </c>
      <c r="N23" s="10" t="s">
        <v>1202</v>
      </c>
      <c r="O23" s="19">
        <f>(5.16666666666667+2.11111111111111+3.08333333333333)+(3/5+7/3+2/15)</f>
        <v>13.427777777777775</v>
      </c>
      <c r="U23" s="10">
        <v>20</v>
      </c>
      <c r="V23" s="10" t="s">
        <v>1203</v>
      </c>
      <c r="W23" s="19">
        <f>19/36-7/80-11/90</f>
        <v>0.31805555555555554</v>
      </c>
      <c r="AC23" s="10">
        <v>20</v>
      </c>
      <c r="AD23" s="10" t="s">
        <v>1204</v>
      </c>
      <c r="AE23" s="19">
        <f>401.21568627451-400.529411764706</f>
        <v>0.68627450980397953</v>
      </c>
      <c r="AP23" s="10">
        <v>20</v>
      </c>
      <c r="AQ23" s="10" t="s">
        <v>1205</v>
      </c>
      <c r="AR23" s="19">
        <f>8/7-2/49-3/343+5/2</f>
        <v>3.593294460641399</v>
      </c>
      <c r="AT23" s="10">
        <v>20</v>
      </c>
      <c r="AU23" s="10" t="s">
        <v>1206</v>
      </c>
      <c r="AV23" s="19">
        <f>3/8+17/16+32/6-2.6</f>
        <v>4.1708333333333325</v>
      </c>
      <c r="AX23" s="10">
        <v>20</v>
      </c>
      <c r="AY23" s="10" t="s">
        <v>1207</v>
      </c>
      <c r="AZ23" s="19">
        <f>(1/2+4/3)-(1/2+1/6)</f>
        <v>1.1666666666666665</v>
      </c>
      <c r="BF23" s="10">
        <v>20</v>
      </c>
      <c r="BG23" s="10" t="s">
        <v>1208</v>
      </c>
      <c r="BH23" s="19">
        <f>2.1025641025641*2.16666666666667*1.02439024390244*4.33333333333333*2.57142857142857</f>
        <v>51.999999999999993</v>
      </c>
      <c r="BJ23" s="10">
        <v>20</v>
      </c>
      <c r="BK23" s="10" t="s">
        <v>1209</v>
      </c>
      <c r="BL23" s="19">
        <f>11/26*52*3.07692307692308*1.85714285714286*5/33</f>
        <v>19.047619047619097</v>
      </c>
      <c r="BN23" s="10">
        <v>20</v>
      </c>
      <c r="BO23" s="10" t="s">
        <v>1210</v>
      </c>
      <c r="BP23" s="19">
        <f>(7/8+2/9)*(36*1/79)</f>
        <v>0.5</v>
      </c>
      <c r="CD23" s="10">
        <v>20</v>
      </c>
      <c r="CE23" s="10" t="s">
        <v>1211</v>
      </c>
      <c r="CF23" s="19">
        <f>(51/76)/(57/1520)</f>
        <v>17.894736842105264</v>
      </c>
      <c r="CL23" s="10">
        <v>20</v>
      </c>
      <c r="CM23" s="10" t="s">
        <v>1212</v>
      </c>
      <c r="CN23" s="19">
        <f>(1.13826815642458)/(9.10614525139665)</f>
        <v>0.12499999999999985</v>
      </c>
      <c r="CP23" s="10">
        <v>20</v>
      </c>
      <c r="CQ23" s="10" t="s">
        <v>1213</v>
      </c>
      <c r="CR23" s="19">
        <f>(6-3/5+1/10)/(5.5)</f>
        <v>1</v>
      </c>
      <c r="CT23" s="10">
        <v>20</v>
      </c>
      <c r="CU23" s="55">
        <v>0.33333333333333331</v>
      </c>
      <c r="CV23" s="55">
        <v>4.2</v>
      </c>
      <c r="CW23" s="55">
        <v>0.5</v>
      </c>
      <c r="CX23" s="55">
        <v>3.4</v>
      </c>
      <c r="CY23" s="19">
        <f t="shared" si="2"/>
        <v>0.53968253968253965</v>
      </c>
      <c r="DA23" s="10">
        <v>20</v>
      </c>
      <c r="DB23" s="55" t="s">
        <v>254</v>
      </c>
      <c r="DC23" s="55">
        <f>((2-2/5)/(4/5)+(3-1/3)/(4/3))*((7/20)*(11/2))/((4-1/4)/(1/2)+(5-1/5)/24)</f>
        <v>0.99999999999999989</v>
      </c>
      <c r="DD23" s="55"/>
    </row>
    <row r="24" spans="1:108">
      <c r="E24" s="10">
        <v>21</v>
      </c>
      <c r="F24" s="10" t="s">
        <v>1214</v>
      </c>
      <c r="G24" s="19">
        <f>5/16+2/48+1/9+3/18</f>
        <v>0.63194444444444442</v>
      </c>
      <c r="I24" s="10">
        <v>21</v>
      </c>
      <c r="J24" s="10" t="s">
        <v>1215</v>
      </c>
      <c r="K24" s="19">
        <f>6.09090909090909+7.45454545454545+8.18181818181818+4.27272727272727</f>
        <v>25.999999999999989</v>
      </c>
      <c r="AT24" s="10">
        <v>21</v>
      </c>
      <c r="AU24" s="10" t="s">
        <v>1216</v>
      </c>
      <c r="AV24" s="19">
        <f>9-1/108-1/216-1/144</f>
        <v>8.9791666666666661</v>
      </c>
      <c r="AX24" s="10">
        <v>21</v>
      </c>
      <c r="AY24" s="10" t="s">
        <v>1217</v>
      </c>
      <c r="AZ24" s="19">
        <f>(6/14+3/7)-(1/3+1/6)</f>
        <v>0.3571428571428571</v>
      </c>
      <c r="BL24" s="19"/>
      <c r="BN24" s="10">
        <v>21</v>
      </c>
      <c r="BO24" s="10" t="s">
        <v>1218</v>
      </c>
      <c r="BP24" s="19">
        <f>(11/180-1/45)*(90*1/14)</f>
        <v>0.25</v>
      </c>
      <c r="CP24" s="10">
        <v>21</v>
      </c>
      <c r="CQ24" s="10" t="s">
        <v>1219</v>
      </c>
      <c r="CR24" s="19">
        <f>((150.125)/(1/8))/(4*2.875)</f>
        <v>104.43478260869566</v>
      </c>
      <c r="CY24" s="19"/>
      <c r="DA24" s="10">
        <v>21</v>
      </c>
      <c r="DB24" s="55" t="s">
        <v>255</v>
      </c>
      <c r="DC24" s="19">
        <f>(1/(1-1/5)+1/(1-1/6))*(1/7+2/49-62/343)/(1/(1-1/3)-1/(1-1/8))</f>
        <v>1.9999999999999924E-2</v>
      </c>
    </row>
    <row r="25" spans="1:108">
      <c r="E25" s="10">
        <v>22</v>
      </c>
      <c r="F25" s="10" t="s">
        <v>1220</v>
      </c>
      <c r="G25" s="19">
        <f>6/17+1/34+1/51+4/3</f>
        <v>1.7352941176470589</v>
      </c>
      <c r="I25" s="10">
        <v>22</v>
      </c>
      <c r="J25" s="10" t="s">
        <v>1221</v>
      </c>
      <c r="K25" s="19">
        <f>4.25+5.125+7.0625+1.03125</f>
        <v>17.46875</v>
      </c>
      <c r="AT25" s="10">
        <v>22</v>
      </c>
      <c r="AU25" s="10" t="s">
        <v>1222</v>
      </c>
      <c r="AV25" s="19">
        <f>5.16666666666667-2.03125+7/64-1/18</f>
        <v>3.1892361111111143</v>
      </c>
      <c r="AX25" s="10">
        <v>22</v>
      </c>
      <c r="AY25" s="10" t="s">
        <v>1223</v>
      </c>
      <c r="AZ25" s="19">
        <f>(8.25+1/8-5)-3.33333333333333</f>
        <v>4.1666666666670071E-2</v>
      </c>
      <c r="BN25" s="10">
        <v>22</v>
      </c>
      <c r="BO25" s="10" t="s">
        <v>1224</v>
      </c>
      <c r="BP25" s="19">
        <f>(2-1/3-1/5)*(6-1/11)</f>
        <v>8.6666666666666679</v>
      </c>
      <c r="CP25" s="10">
        <v>22</v>
      </c>
      <c r="CQ25" s="10" t="s">
        <v>1225</v>
      </c>
      <c r="CR25" s="19">
        <f>(7/30+7/90+1/3)/(1/9)</f>
        <v>5.8</v>
      </c>
      <c r="DA25" s="10">
        <v>22</v>
      </c>
      <c r="DB25" s="55" t="s">
        <v>256</v>
      </c>
      <c r="DC25" s="19">
        <f>1+3/(2+4/(1-1/4))</f>
        <v>1.4090909090909092</v>
      </c>
    </row>
    <row r="26" spans="1:108">
      <c r="E26" s="10">
        <v>23</v>
      </c>
      <c r="F26" s="10" t="s">
        <v>1226</v>
      </c>
      <c r="G26" s="19">
        <f>7/90+11/30+3/80+7/40</f>
        <v>0.65694444444444433</v>
      </c>
      <c r="I26" s="10">
        <v>23</v>
      </c>
      <c r="J26" s="10" t="s">
        <v>1227</v>
      </c>
      <c r="K26" s="19">
        <f>3.2+4.1+1.02+2.12</f>
        <v>10.440000000000001</v>
      </c>
      <c r="AT26" s="10">
        <v>23</v>
      </c>
      <c r="AU26" s="10" t="s">
        <v>1228</v>
      </c>
      <c r="AV26" s="81" t="s">
        <v>1229</v>
      </c>
      <c r="AX26" s="10">
        <v>23</v>
      </c>
      <c r="AY26" s="10" t="s">
        <v>1230</v>
      </c>
      <c r="AZ26" s="19">
        <f>(6-1/5)-(4-1/3)</f>
        <v>2.1333333333333333</v>
      </c>
      <c r="BN26" s="10">
        <v>23</v>
      </c>
      <c r="BO26" s="10" t="s">
        <v>1231</v>
      </c>
      <c r="BP26" s="19">
        <f>(9/3-1/4-1/8-1/16)*8</f>
        <v>20.5</v>
      </c>
      <c r="CP26" s="10">
        <v>23</v>
      </c>
      <c r="CQ26" s="10" t="s">
        <v>1232</v>
      </c>
      <c r="CR26" s="19">
        <f>(1/6+1/3-1/45)/(1.01111111111111)</f>
        <v>0.47252747252747307</v>
      </c>
      <c r="DA26" s="10">
        <v>23</v>
      </c>
      <c r="DB26" s="55" t="s">
        <v>257</v>
      </c>
      <c r="DC26" s="19">
        <f>2+5/(2+1/(3+1/8))</f>
        <v>4.1551724137931032</v>
      </c>
    </row>
    <row r="27" spans="1:108">
      <c r="E27" s="10">
        <v>24</v>
      </c>
      <c r="F27" s="10" t="s">
        <v>1233</v>
      </c>
      <c r="G27" s="19">
        <f>8/72+71/144+5/36+8/27</f>
        <v>1.0393518518518519</v>
      </c>
      <c r="I27" s="10">
        <v>24</v>
      </c>
      <c r="J27" s="10" t="s">
        <v>1234</v>
      </c>
      <c r="K27" s="19">
        <f>1.2+3.25+2.06666666666667+4.01666666666667</f>
        <v>10.53333333333334</v>
      </c>
      <c r="AT27" s="10">
        <v>24</v>
      </c>
      <c r="AU27" s="10" t="s">
        <v>1235</v>
      </c>
      <c r="AV27" s="19">
        <f>5.77777777777778-3.33333333333333-11/36+1/4</f>
        <v>2.3888888888888946</v>
      </c>
      <c r="AX27" s="10">
        <v>24</v>
      </c>
      <c r="AY27" s="10" t="s">
        <v>1236</v>
      </c>
      <c r="AZ27" s="19">
        <f>(20-1/10)-(8-1/25)</f>
        <v>11.939999999999998</v>
      </c>
      <c r="BN27" s="10">
        <v>24</v>
      </c>
      <c r="BO27" s="10" t="s">
        <v>1237</v>
      </c>
      <c r="BP27" s="19">
        <f>(9.08333333333333+7/16-2.33333333333333-2)*1.01204819277108</f>
        <v>5.2499999999999778</v>
      </c>
      <c r="CP27" s="10">
        <v>24</v>
      </c>
      <c r="CQ27" s="10" t="s">
        <v>1238</v>
      </c>
      <c r="CR27" s="19">
        <f>(2*6/5)/(2+3/8)</f>
        <v>1.0105263157894737</v>
      </c>
      <c r="DA27" s="10">
        <v>24</v>
      </c>
      <c r="DB27" s="55" t="s">
        <v>258</v>
      </c>
      <c r="DC27" s="55">
        <f>3+1/(3+1/(1-1/3))</f>
        <v>3.2222222222222223</v>
      </c>
    </row>
    <row r="28" spans="1:108">
      <c r="E28" s="10">
        <v>25</v>
      </c>
      <c r="F28" s="10" t="s">
        <v>1239</v>
      </c>
      <c r="G28" s="19">
        <f>7/39+11/26+2/3+8/9</f>
        <v>2.158119658119658</v>
      </c>
      <c r="I28" s="10">
        <v>25</v>
      </c>
      <c r="J28" s="10" t="s">
        <v>1240</v>
      </c>
      <c r="K28" s="19">
        <f>5.42857142857143+3.07142857142857+2.16666666666667+7.5</f>
        <v>18.166666666666671</v>
      </c>
      <c r="AT28" s="10">
        <v>25</v>
      </c>
      <c r="AU28" s="10" t="s">
        <v>1241</v>
      </c>
      <c r="AV28" s="19">
        <f>16.25-3.125-2.57142857142857-3/28</f>
        <v>10.446428571428573</v>
      </c>
      <c r="AX28" s="10">
        <v>25</v>
      </c>
      <c r="AY28" s="10" t="s">
        <v>1242</v>
      </c>
      <c r="AZ28" s="19">
        <f>(4.5-3.25)+(6.2-5.16666666666667)</f>
        <v>2.2833333333333306</v>
      </c>
      <c r="BN28" s="10">
        <v>25</v>
      </c>
      <c r="BO28" s="10" t="s">
        <v>1243</v>
      </c>
      <c r="BP28" s="81" t="s">
        <v>1244</v>
      </c>
      <c r="CP28" s="10">
        <v>25</v>
      </c>
      <c r="CQ28" s="10" t="s">
        <v>1245</v>
      </c>
      <c r="CR28" s="19">
        <f>(5/(1/5))/(2/(1/3))</f>
        <v>4.166666666666667</v>
      </c>
      <c r="DA28" s="10">
        <v>25</v>
      </c>
      <c r="DB28" s="55" t="s">
        <v>259</v>
      </c>
      <c r="DC28" s="55">
        <f>5+2/(1+(1/2)/(2-1/4))</f>
        <v>6.5555555555555554</v>
      </c>
    </row>
    <row r="29" spans="1:108">
      <c r="E29" s="10">
        <v>26</v>
      </c>
      <c r="F29" s="10" t="s">
        <v>1246</v>
      </c>
      <c r="G29" s="19">
        <f>1/3+1/9+1/18+7/24+11/30</f>
        <v>1.1583333333333334</v>
      </c>
      <c r="I29" s="10">
        <v>26</v>
      </c>
      <c r="J29" s="10" t="s">
        <v>1247</v>
      </c>
      <c r="K29" s="19">
        <f>1.2+4.0125+5.0625+2.025</f>
        <v>12.3</v>
      </c>
      <c r="AT29" s="10">
        <v>26</v>
      </c>
      <c r="AU29" s="10" t="s">
        <v>1248</v>
      </c>
      <c r="AV29" s="19">
        <f>50.6-6-8.02-2.3</f>
        <v>34.28</v>
      </c>
      <c r="AX29" s="10">
        <v>26</v>
      </c>
      <c r="AY29" s="10" t="s">
        <v>1249</v>
      </c>
      <c r="AZ29" s="19">
        <f>18-(2.5+3.33333333333333+4.25+5.2)</f>
        <v>2.7166666666666686</v>
      </c>
      <c r="BN29" s="10">
        <v>26</v>
      </c>
      <c r="BO29" s="10" t="s">
        <v>1250</v>
      </c>
      <c r="BP29" s="81" t="s">
        <v>1251</v>
      </c>
      <c r="CP29" s="10">
        <v>26</v>
      </c>
      <c r="CQ29" s="10" t="s">
        <v>1252</v>
      </c>
      <c r="CR29" s="19">
        <f>(19.6666666666667+1/4)/(4.2*5/42*1/6)</f>
        <v>239.0000000000004</v>
      </c>
      <c r="DA29" s="10">
        <v>26</v>
      </c>
      <c r="DB29" s="55" t="s">
        <v>260</v>
      </c>
      <c r="DC29" s="19">
        <f>5/(6+(1/3-1/5)/3)</f>
        <v>0.82720588235294124</v>
      </c>
    </row>
    <row r="30" spans="1:108">
      <c r="E30" s="10">
        <v>27</v>
      </c>
      <c r="F30" s="10" t="s">
        <v>1253</v>
      </c>
      <c r="G30" s="19">
        <f>7/25+8/105+9/21+11/50+1/63</f>
        <v>1.0206349206349206</v>
      </c>
      <c r="I30" s="10">
        <v>27</v>
      </c>
      <c r="J30" s="10" t="s">
        <v>1254</v>
      </c>
      <c r="K30" s="19">
        <f>2.05555555555556+6.46666666666667+4.02222222222222+7.01111111111111</f>
        <v>19.555555555555561</v>
      </c>
      <c r="AT30" s="10">
        <v>27</v>
      </c>
      <c r="AU30" s="10" t="s">
        <v>1255</v>
      </c>
      <c r="AV30" s="19">
        <f>1/3+4.2-2.5+1/6-1/9</f>
        <v>2.0888888888888886</v>
      </c>
      <c r="AX30" s="10">
        <v>27</v>
      </c>
      <c r="AY30" s="10" t="s">
        <v>1256</v>
      </c>
      <c r="AZ30" s="19">
        <f>(6-1/2+1/3)-(2-1/2+1)</f>
        <v>3.333333333333333</v>
      </c>
      <c r="BN30" s="10">
        <v>27</v>
      </c>
      <c r="BO30" s="10" t="s">
        <v>1257</v>
      </c>
      <c r="BP30" s="19">
        <f>(2.33333333333333+3.25)*(3+4.25+1/16)</f>
        <v>40.828124999999979</v>
      </c>
      <c r="CP30" s="10">
        <v>27</v>
      </c>
      <c r="CQ30" s="10" t="s">
        <v>1258</v>
      </c>
      <c r="CR30" s="19">
        <f>(1/2-1/3)*(2-1/5)/(1-1/3)</f>
        <v>0.45</v>
      </c>
    </row>
    <row r="31" spans="1:108">
      <c r="E31" s="10">
        <v>28</v>
      </c>
      <c r="F31" s="10" t="s">
        <v>1259</v>
      </c>
      <c r="G31" s="19">
        <f>19/18+61/72+13/216+1/10+3/5</f>
        <v>2.662962962962963</v>
      </c>
      <c r="I31" s="10">
        <v>28</v>
      </c>
      <c r="J31" s="10" t="s">
        <v>1260</v>
      </c>
      <c r="K31" s="19">
        <f>4.03225806451613+1.01612903225806+1.03225806451613+4.25</f>
        <v>10.33064516129032</v>
      </c>
      <c r="AT31" s="10">
        <v>28</v>
      </c>
      <c r="AU31" s="10" t="s">
        <v>1261</v>
      </c>
      <c r="AV31" s="19">
        <f>4.46666666666667-1/9+1/12-1/36-1</f>
        <v>3.411111111111115</v>
      </c>
      <c r="AX31" s="10">
        <v>28</v>
      </c>
      <c r="AY31" s="10" t="s">
        <v>1262</v>
      </c>
      <c r="AZ31" s="19">
        <f>(1/2+1/3+1/4)-(1/8+1/16+1/32)</f>
        <v>0.86458333333333326</v>
      </c>
      <c r="BN31" s="10">
        <v>28</v>
      </c>
      <c r="BO31" s="10" t="s">
        <v>1263</v>
      </c>
      <c r="BP31" s="19">
        <f>150*(9/32+5+1/16)*1/14</f>
        <v>57.254464285714285</v>
      </c>
      <c r="CP31" s="10">
        <v>28</v>
      </c>
      <c r="CQ31" s="10" t="s">
        <v>1264</v>
      </c>
      <c r="CR31" s="19">
        <f>(4-1/4)*(5-1/5)/(1/18)</f>
        <v>324</v>
      </c>
    </row>
    <row r="32" spans="1:108">
      <c r="E32" s="10">
        <v>29</v>
      </c>
      <c r="F32" s="10" t="s">
        <v>1265</v>
      </c>
      <c r="G32" s="19">
        <f>1/324+1/162+5/108+1/14+1/21</f>
        <v>0.17460317460317459</v>
      </c>
      <c r="I32" s="10">
        <v>29</v>
      </c>
      <c r="J32" s="10" t="s">
        <v>1266</v>
      </c>
      <c r="K32" s="81" t="s">
        <v>1267</v>
      </c>
      <c r="AT32" s="10">
        <v>29</v>
      </c>
      <c r="AU32" s="10" t="s">
        <v>1268</v>
      </c>
      <c r="AV32" s="19">
        <f>7.5-5.25+6.125-6.16666666666667+6.11111111111111</f>
        <v>8.3194444444444393</v>
      </c>
      <c r="AX32" s="10">
        <v>29</v>
      </c>
      <c r="AY32" s="10" t="s">
        <v>1269</v>
      </c>
      <c r="AZ32" s="19">
        <f>(7/30-1/60+1/4)+(5/3+7/5-1/20)</f>
        <v>3.4833333333333334</v>
      </c>
      <c r="BN32" s="10">
        <v>29</v>
      </c>
      <c r="BO32" s="10" t="s">
        <v>1270</v>
      </c>
      <c r="BP32" s="19">
        <f>(1/3-1/5)*(1/60+10/25)*5.26666666666667</f>
        <v>0.29259259259259274</v>
      </c>
      <c r="CP32" s="10">
        <v>29</v>
      </c>
      <c r="CQ32" s="10" t="s">
        <v>1271</v>
      </c>
      <c r="CR32" s="19">
        <f>(1/2*4/3)/((1/2)/6)/(1/2+1/4)</f>
        <v>10.666666666666666</v>
      </c>
    </row>
    <row r="33" spans="5:96">
      <c r="E33" s="10">
        <v>30</v>
      </c>
      <c r="F33" s="10" t="s">
        <v>1272</v>
      </c>
      <c r="G33" s="81" t="s">
        <v>1273</v>
      </c>
      <c r="I33" s="10">
        <v>30</v>
      </c>
      <c r="J33" s="10" t="s">
        <v>1274</v>
      </c>
      <c r="K33" s="81" t="s">
        <v>1275</v>
      </c>
      <c r="AT33" s="10">
        <v>30</v>
      </c>
      <c r="AU33" s="10" t="s">
        <v>1276</v>
      </c>
      <c r="AV33" s="19">
        <f>25-7/30+4.05-1/50-1/6-3</f>
        <v>25.63</v>
      </c>
      <c r="AX33" s="10">
        <v>30</v>
      </c>
      <c r="AY33" s="10" t="s">
        <v>1277</v>
      </c>
      <c r="AZ33" s="19">
        <f>180-3.2-(2.33333333333333+1/6-1/9)</f>
        <v>174.41111111111113</v>
      </c>
      <c r="BN33" s="10">
        <v>30</v>
      </c>
      <c r="BO33" s="10" t="s">
        <v>1278</v>
      </c>
      <c r="BP33" s="19">
        <f>(3.5+1/8)*(6-2/3)*(5.25+1/12)</f>
        <v>103.1111111111111</v>
      </c>
      <c r="CP33" s="10">
        <v>30</v>
      </c>
      <c r="CQ33" s="10" t="s">
        <v>1279</v>
      </c>
      <c r="CR33" s="19">
        <f>(2.33333333333333-1.16666666666667)/(3.25+2.125)/(28/129)</f>
        <v>0.99999999999999412</v>
      </c>
    </row>
    <row r="34" spans="5:96">
      <c r="AZ34" s="19"/>
      <c r="CP34" s="10">
        <v>31</v>
      </c>
      <c r="CQ34" s="10" t="s">
        <v>1280</v>
      </c>
      <c r="CR34" s="19">
        <f>3/5*((8/9)/(1/6))</f>
        <v>3.1999999999999997</v>
      </c>
    </row>
    <row r="35" spans="5:96">
      <c r="CP35" s="10">
        <v>32</v>
      </c>
      <c r="CQ35" s="10" t="s">
        <v>1281</v>
      </c>
      <c r="CR35" s="19">
        <f>5/6*((2/3)/(3/2))*72</f>
        <v>26.666666666666664</v>
      </c>
    </row>
    <row r="36" spans="5:96">
      <c r="CP36" s="10">
        <v>33</v>
      </c>
      <c r="CQ36" s="10" t="s">
        <v>1282</v>
      </c>
      <c r="CR36" s="19">
        <f>1/8*((5/6)/(1/2))*150</f>
        <v>31.25</v>
      </c>
    </row>
    <row r="37" spans="5:96">
      <c r="CP37" s="10">
        <v>34</v>
      </c>
      <c r="CQ37" s="10" t="s">
        <v>1283</v>
      </c>
      <c r="CR37" s="81" t="s">
        <v>1284</v>
      </c>
    </row>
    <row r="38" spans="5:96">
      <c r="CP38" s="10">
        <v>35</v>
      </c>
      <c r="CQ38" s="10" t="s">
        <v>1285</v>
      </c>
      <c r="CR38" s="19">
        <f>3/11*2/2*((1/3)/(1/14))*14.4</f>
        <v>18.327272727272728</v>
      </c>
    </row>
  </sheetData>
  <mergeCells count="26">
    <mergeCell ref="CT2:CY2"/>
    <mergeCell ref="DC3:DD3"/>
    <mergeCell ref="DA2:DD2"/>
    <mergeCell ref="AG2:AI2"/>
    <mergeCell ref="AP2:AR2"/>
    <mergeCell ref="E2:G2"/>
    <mergeCell ref="I2:K2"/>
    <mergeCell ref="M2:O2"/>
    <mergeCell ref="Q2:S2"/>
    <mergeCell ref="U2:W2"/>
    <mergeCell ref="A2:C2"/>
    <mergeCell ref="AK2:AN2"/>
    <mergeCell ref="CL2:CN2"/>
    <mergeCell ref="CP2:CR2"/>
    <mergeCell ref="BN2:BP2"/>
    <mergeCell ref="BR2:BT2"/>
    <mergeCell ref="BV2:CB2"/>
    <mergeCell ref="CD2:CF2"/>
    <mergeCell ref="CH2:CJ2"/>
    <mergeCell ref="AT2:AV2"/>
    <mergeCell ref="AX2:AZ2"/>
    <mergeCell ref="BB2:BD2"/>
    <mergeCell ref="BF2:BH2"/>
    <mergeCell ref="BJ2:BL2"/>
    <mergeCell ref="Y2:AA2"/>
    <mergeCell ref="AC2:AE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X43"/>
  <sheetViews>
    <sheetView workbookViewId="0"/>
  </sheetViews>
  <sheetFormatPr baseColWidth="10" defaultRowHeight="15"/>
  <cols>
    <col min="1" max="1" width="9.5" style="10" customWidth="1"/>
    <col min="2" max="2" width="10.83203125" style="10"/>
    <col min="3" max="3" width="13.1640625" style="10" customWidth="1"/>
    <col min="4" max="4" width="17.5" style="10" customWidth="1"/>
    <col min="5" max="5" width="9.83203125" style="10" customWidth="1"/>
    <col min="6" max="6" width="8.33203125" style="10" customWidth="1"/>
    <col min="7" max="7" width="12.5" style="10" customWidth="1"/>
    <col min="8" max="8" width="13.83203125" style="10" customWidth="1"/>
    <col min="9" max="9" width="15.6640625" style="10" customWidth="1"/>
    <col min="10" max="10" width="14.1640625" style="10" customWidth="1"/>
    <col min="11" max="11" width="16" style="10" customWidth="1"/>
    <col min="12" max="12" width="14.6640625" style="10" customWidth="1"/>
    <col min="13" max="13" width="14.5" style="10" customWidth="1"/>
    <col min="14" max="14" width="15.1640625" style="10" customWidth="1"/>
    <col min="15" max="15" width="13.5" style="10" customWidth="1"/>
    <col min="16" max="16" width="14.33203125" style="10" customWidth="1"/>
    <col min="17" max="17" width="9.5" style="10" customWidth="1"/>
    <col min="18" max="18" width="9" style="10" customWidth="1"/>
    <col min="19" max="19" width="10" style="10" customWidth="1"/>
    <col min="20" max="20" width="8.5" style="10" customWidth="1"/>
    <col min="21" max="21" width="10.83203125" style="10"/>
    <col min="22" max="22" width="12" style="10" customWidth="1"/>
    <col min="23" max="16384" width="10.83203125" style="10"/>
  </cols>
  <sheetData>
    <row r="1" spans="1:21" ht="100" customHeight="1"/>
    <row r="2" spans="1:21">
      <c r="A2" s="11" t="s">
        <v>262</v>
      </c>
      <c r="B2" s="11"/>
      <c r="C2" s="11"/>
      <c r="D2" s="11"/>
      <c r="E2" s="11"/>
      <c r="G2" s="11" t="s">
        <v>264</v>
      </c>
      <c r="H2" s="11"/>
      <c r="I2" s="11"/>
      <c r="J2" s="11"/>
      <c r="K2" s="11"/>
      <c r="L2" s="11"/>
      <c r="M2" s="11"/>
      <c r="N2" s="11"/>
    </row>
    <row r="3" spans="1:21" ht="32">
      <c r="A3" s="12" t="s">
        <v>4</v>
      </c>
      <c r="B3" s="31" t="s">
        <v>85</v>
      </c>
      <c r="C3" s="31" t="s">
        <v>86</v>
      </c>
      <c r="D3" s="31" t="s">
        <v>263</v>
      </c>
      <c r="E3" s="31" t="s">
        <v>220</v>
      </c>
      <c r="G3" s="12" t="s">
        <v>4</v>
      </c>
      <c r="H3" s="31" t="s">
        <v>220</v>
      </c>
      <c r="I3" s="31" t="s">
        <v>265</v>
      </c>
      <c r="J3" s="31" t="s">
        <v>266</v>
      </c>
      <c r="K3" s="31" t="s">
        <v>267</v>
      </c>
      <c r="L3" s="31" t="s">
        <v>268</v>
      </c>
      <c r="M3" s="31" t="s">
        <v>269</v>
      </c>
      <c r="N3" s="31" t="s">
        <v>270</v>
      </c>
      <c r="O3" s="31" t="s">
        <v>271</v>
      </c>
      <c r="P3" s="31" t="s">
        <v>272</v>
      </c>
      <c r="Q3" s="31" t="s">
        <v>273</v>
      </c>
      <c r="R3" s="31" t="s">
        <v>274</v>
      </c>
      <c r="S3" s="31" t="s">
        <v>275</v>
      </c>
      <c r="T3" s="31" t="s">
        <v>276</v>
      </c>
    </row>
    <row r="4" spans="1:21">
      <c r="A4" s="10">
        <v>1</v>
      </c>
      <c r="B4" s="38">
        <v>8</v>
      </c>
      <c r="C4" s="38">
        <v>17</v>
      </c>
      <c r="D4" s="41" t="str">
        <f>DecToCont(B4,C4)</f>
        <v>2, 8</v>
      </c>
      <c r="E4" s="10">
        <f>QUOTIENT(B4,C4)</f>
        <v>0</v>
      </c>
      <c r="G4" s="10">
        <v>1</v>
      </c>
      <c r="H4" s="10">
        <v>1</v>
      </c>
      <c r="I4" s="10">
        <v>1</v>
      </c>
      <c r="J4" s="10">
        <v>2</v>
      </c>
      <c r="K4" s="10">
        <v>2</v>
      </c>
      <c r="O4" s="18">
        <f>H4</f>
        <v>1</v>
      </c>
      <c r="P4" s="37" t="str">
        <f>Quebrado(0,H4*J4+1,J4)</f>
        <v>3/2</v>
      </c>
      <c r="Q4" s="37" t="str">
        <f>Quebrado(0,K4*(J4*I4+1)+I4,K4*J4+1)</f>
        <v>7/5</v>
      </c>
      <c r="R4" s="37"/>
      <c r="S4" s="37"/>
      <c r="T4" s="37"/>
    </row>
    <row r="5" spans="1:21">
      <c r="A5" s="10">
        <v>2</v>
      </c>
      <c r="B5" s="38">
        <v>7</v>
      </c>
      <c r="C5" s="38">
        <v>19</v>
      </c>
      <c r="D5" s="41" t="str">
        <f t="shared" ref="D5:D18" si="0">DecToCont(B5,C5)</f>
        <v>2, 1, 2, 2</v>
      </c>
      <c r="E5" s="10">
        <f t="shared" ref="E5:E18" si="1">QUOTIENT(B5,C5)</f>
        <v>0</v>
      </c>
      <c r="G5" s="10">
        <v>2</v>
      </c>
      <c r="H5" s="10">
        <v>2</v>
      </c>
      <c r="I5" s="10">
        <v>2</v>
      </c>
      <c r="J5" s="10">
        <v>1</v>
      </c>
      <c r="K5" s="10">
        <v>1</v>
      </c>
      <c r="L5" s="10">
        <v>2</v>
      </c>
      <c r="O5" s="18">
        <f t="shared" ref="O5:O11" si="2">H5</f>
        <v>2</v>
      </c>
      <c r="P5" s="37" t="str">
        <f>Quebrado(0,H5*J5+1,J5)</f>
        <v>3/1</v>
      </c>
      <c r="Q5" s="37" t="str">
        <f>Quebrado(0,K5*(J5*I5+1)+I5,K5*J5+1)</f>
        <v>5/2</v>
      </c>
      <c r="R5" s="37" t="str">
        <f t="shared" ref="R5:R11" si="3">Quebrado(0,(K5*(J5*I5+1)+I5)*L5+H5*J5+1,(K5*J5+1)*L5+J5)</f>
        <v>13/5</v>
      </c>
      <c r="S5" s="37"/>
      <c r="T5" s="37"/>
    </row>
    <row r="6" spans="1:21">
      <c r="A6" s="10">
        <v>3</v>
      </c>
      <c r="B6" s="38">
        <v>67</v>
      </c>
      <c r="C6" s="38">
        <v>78</v>
      </c>
      <c r="D6" s="41" t="str">
        <f t="shared" si="0"/>
        <v>1, 6, 11</v>
      </c>
      <c r="E6" s="10">
        <f t="shared" si="1"/>
        <v>0</v>
      </c>
      <c r="G6" s="10">
        <v>3</v>
      </c>
      <c r="H6" s="10">
        <v>0</v>
      </c>
      <c r="I6" s="10">
        <v>0</v>
      </c>
      <c r="J6" s="10">
        <v>1</v>
      </c>
      <c r="K6" s="10">
        <v>2</v>
      </c>
      <c r="L6" s="10">
        <v>3</v>
      </c>
      <c r="O6" s="18">
        <f t="shared" si="2"/>
        <v>0</v>
      </c>
      <c r="P6" s="37" t="str">
        <f t="shared" ref="P6:P11" si="4">Quebrado(0,H6*J6+1,J6)</f>
        <v>1/1</v>
      </c>
      <c r="Q6" s="37" t="str">
        <f t="shared" ref="Q6:Q11" si="5">Quebrado(0,K6*(J6*I6+1)+I6,K6*J6+1)</f>
        <v>2/3</v>
      </c>
      <c r="R6" s="37" t="str">
        <f t="shared" si="3"/>
        <v>7/10</v>
      </c>
      <c r="S6" s="37"/>
      <c r="T6" s="37"/>
    </row>
    <row r="7" spans="1:21">
      <c r="A7" s="10">
        <v>4</v>
      </c>
      <c r="B7" s="38">
        <v>19</v>
      </c>
      <c r="C7" s="38">
        <v>1050</v>
      </c>
      <c r="D7" s="41" t="str">
        <f t="shared" si="0"/>
        <v>55, 3, 1, 4</v>
      </c>
      <c r="E7" s="10">
        <f t="shared" si="1"/>
        <v>0</v>
      </c>
      <c r="G7" s="10">
        <v>4</v>
      </c>
      <c r="H7" s="10">
        <v>2</v>
      </c>
      <c r="I7" s="10">
        <v>2</v>
      </c>
      <c r="J7" s="10">
        <v>3</v>
      </c>
      <c r="K7" s="10">
        <v>1</v>
      </c>
      <c r="L7" s="10">
        <v>1</v>
      </c>
      <c r="M7" s="10">
        <v>2</v>
      </c>
      <c r="O7" s="18">
        <f t="shared" si="2"/>
        <v>2</v>
      </c>
      <c r="P7" s="37" t="str">
        <f t="shared" si="4"/>
        <v>7/3</v>
      </c>
      <c r="Q7" s="37" t="str">
        <f t="shared" si="5"/>
        <v>9/4</v>
      </c>
      <c r="R7" s="37" t="str">
        <f t="shared" si="3"/>
        <v>16/7</v>
      </c>
      <c r="S7" s="37" t="str">
        <f>Quebrado(0,((K7*(J7*I7+1)+I7)*L7+H7*J7+1)*M7+K7*(J7*I7+1)+I7,((K7*J7+1)*L7+J7)*M7+K7*J7+1)</f>
        <v>41/18</v>
      </c>
      <c r="T7" s="37"/>
    </row>
    <row r="8" spans="1:21">
      <c r="A8" s="10">
        <v>5</v>
      </c>
      <c r="B8" s="38">
        <v>131</v>
      </c>
      <c r="C8" s="38">
        <v>2800</v>
      </c>
      <c r="D8" s="41" t="str">
        <f t="shared" si="0"/>
        <v>21, 2, 1, 2, 16</v>
      </c>
      <c r="E8" s="10">
        <f t="shared" si="1"/>
        <v>0</v>
      </c>
      <c r="G8" s="10">
        <v>5</v>
      </c>
      <c r="H8" s="10">
        <v>0</v>
      </c>
      <c r="I8" s="10">
        <v>0</v>
      </c>
      <c r="J8" s="10">
        <v>2</v>
      </c>
      <c r="K8" s="10">
        <v>3</v>
      </c>
      <c r="L8" s="10">
        <v>4</v>
      </c>
      <c r="M8" s="10">
        <v>2</v>
      </c>
      <c r="O8" s="18">
        <f t="shared" si="2"/>
        <v>0</v>
      </c>
      <c r="P8" s="37" t="str">
        <f t="shared" si="4"/>
        <v>1/2</v>
      </c>
      <c r="Q8" s="37" t="str">
        <f t="shared" si="5"/>
        <v>3/7</v>
      </c>
      <c r="R8" s="37" t="str">
        <f t="shared" si="3"/>
        <v>13/30</v>
      </c>
      <c r="S8" s="37" t="str">
        <f>Quebrado(0,((K8*(J8*I8+1)+I8)*L8+H8*J8+1)*M8+K8*(J8*I8+1)+I8,((K8*J8+1)*L8+J8)*M8+K8*J8+1)</f>
        <v>29/67</v>
      </c>
      <c r="T8" s="37"/>
    </row>
    <row r="9" spans="1:21">
      <c r="A9" s="10">
        <v>6</v>
      </c>
      <c r="B9" s="38">
        <v>23</v>
      </c>
      <c r="C9" s="38">
        <v>79</v>
      </c>
      <c r="D9" s="41" t="str">
        <f t="shared" si="0"/>
        <v>3, 2, 3, 3</v>
      </c>
      <c r="E9" s="10">
        <f t="shared" si="1"/>
        <v>0</v>
      </c>
      <c r="G9" s="10">
        <v>6</v>
      </c>
      <c r="H9" s="10">
        <v>1</v>
      </c>
      <c r="I9" s="10">
        <v>1</v>
      </c>
      <c r="J9" s="10">
        <v>5</v>
      </c>
      <c r="K9" s="10">
        <v>4</v>
      </c>
      <c r="L9" s="10">
        <v>1</v>
      </c>
      <c r="M9" s="10">
        <v>3</v>
      </c>
      <c r="O9" s="18">
        <f t="shared" si="2"/>
        <v>1</v>
      </c>
      <c r="P9" s="37" t="str">
        <f t="shared" si="4"/>
        <v>6/5</v>
      </c>
      <c r="Q9" s="37" t="str">
        <f t="shared" si="5"/>
        <v>25/21</v>
      </c>
      <c r="R9" s="37" t="str">
        <f t="shared" si="3"/>
        <v>31/26</v>
      </c>
      <c r="S9" s="37" t="str">
        <f>Quebrado(0,((K9*(J9*I9+1)+I9)*L9+H9*J9+1)*M9+K9*(J9*I9+1)+I9,((K9*J9+1)*L9+J9)*M9+K9*J9+1)</f>
        <v>118/99</v>
      </c>
      <c r="T9" s="37"/>
    </row>
    <row r="10" spans="1:21">
      <c r="A10" s="10">
        <v>7</v>
      </c>
      <c r="B10" s="38">
        <v>31</v>
      </c>
      <c r="C10" s="38">
        <v>2040</v>
      </c>
      <c r="D10" s="41" t="str">
        <f t="shared" si="0"/>
        <v>65, 1, 4, 6</v>
      </c>
      <c r="E10" s="10">
        <f t="shared" si="1"/>
        <v>0</v>
      </c>
      <c r="G10" s="10">
        <v>7</v>
      </c>
      <c r="H10" s="10">
        <v>1</v>
      </c>
      <c r="I10" s="10">
        <v>1</v>
      </c>
      <c r="J10" s="10">
        <v>4</v>
      </c>
      <c r="K10" s="10">
        <v>1</v>
      </c>
      <c r="L10" s="10">
        <v>1</v>
      </c>
      <c r="M10" s="10">
        <v>2</v>
      </c>
      <c r="N10" s="10">
        <v>5</v>
      </c>
      <c r="O10" s="18">
        <f t="shared" si="2"/>
        <v>1</v>
      </c>
      <c r="P10" s="37" t="str">
        <f t="shared" si="4"/>
        <v>5/4</v>
      </c>
      <c r="Q10" s="37" t="str">
        <f t="shared" si="5"/>
        <v>6/5</v>
      </c>
      <c r="R10" s="37" t="str">
        <f t="shared" si="3"/>
        <v>11/9</v>
      </c>
      <c r="S10" s="37" t="str">
        <f>Quebrado(0,((K10*(J10*I10+1)+I10)*L10+H10*J10+1)*M10+K10*(J10*I10+1)+I10,((K10*J10+1)*L10+J10)*M10+K10*J10+1)</f>
        <v>28/23</v>
      </c>
      <c r="T10" s="37" t="str">
        <f>Quebrado(0,(((K10*(J10*I10+1)+I10)*L10+H10*J10+1)*M10+K10*(J10*I10+1)+I10)*N10+(K10*(J10*I10+1)+I10)*L10+H10*J10+1,(((K10*J10+1)*L10+J10)*M10+K10*J10+1)*N10+(K10*J10+1)*L10+J10)</f>
        <v>151/124</v>
      </c>
    </row>
    <row r="11" spans="1:21">
      <c r="A11" s="10">
        <v>8</v>
      </c>
      <c r="B11" s="38">
        <v>15</v>
      </c>
      <c r="C11" s="38">
        <v>131</v>
      </c>
      <c r="D11" s="41" t="str">
        <f t="shared" si="0"/>
        <v>8, 1, 2, 1, 3</v>
      </c>
      <c r="E11" s="10">
        <f t="shared" si="1"/>
        <v>0</v>
      </c>
      <c r="G11" s="10">
        <v>8</v>
      </c>
      <c r="H11" s="10">
        <v>3</v>
      </c>
      <c r="I11" s="10">
        <v>3</v>
      </c>
      <c r="J11" s="10">
        <v>2</v>
      </c>
      <c r="K11" s="10">
        <v>3</v>
      </c>
      <c r="L11" s="10">
        <v>4</v>
      </c>
      <c r="M11" s="10">
        <v>1</v>
      </c>
      <c r="N11" s="10">
        <v>5</v>
      </c>
      <c r="O11" s="18">
        <f t="shared" si="2"/>
        <v>3</v>
      </c>
      <c r="P11" s="37" t="str">
        <f t="shared" si="4"/>
        <v>7/2</v>
      </c>
      <c r="Q11" s="37" t="str">
        <f t="shared" si="5"/>
        <v>24/7</v>
      </c>
      <c r="R11" s="37" t="str">
        <f t="shared" si="3"/>
        <v>103/30</v>
      </c>
      <c r="S11" s="37" t="str">
        <f>Quebrado(0,((K11*(J11*I11+1)+I11)*L11+H11*J11+1)*M11+K11*(J11*I11+1)+I11,((K11*J11+1)*L11+J11)*M11+K11*J11+1)</f>
        <v>127/37</v>
      </c>
      <c r="T11" s="37" t="str">
        <f>Quebrado(0,(((K11*(J11*I11+1)+I11)*L11+H11*J11+1)*M11+K11*(J11*I11+1)+I11)*N11+(K11*(J11*I11+1)+I11)*L11+H11*J11+1,(((K11*J11+1)*L11+J11)*M11+K11*J11+1)*N11+(K11*J11+1)*L11+J11)</f>
        <v>738/215</v>
      </c>
      <c r="U11" s="37"/>
    </row>
    <row r="12" spans="1:21">
      <c r="A12" s="10">
        <v>9</v>
      </c>
      <c r="B12" s="38">
        <v>79</v>
      </c>
      <c r="C12" s="38">
        <v>1410</v>
      </c>
      <c r="D12" s="41" t="str">
        <f t="shared" si="0"/>
        <v>17, 1, 5, 1, 1, 2, 2</v>
      </c>
      <c r="E12" s="10">
        <f t="shared" si="1"/>
        <v>0</v>
      </c>
      <c r="N12" s="41"/>
      <c r="O12" s="18"/>
      <c r="P12" s="37"/>
      <c r="Q12" s="37"/>
      <c r="R12" s="37"/>
      <c r="S12" s="37"/>
      <c r="T12" s="37"/>
      <c r="U12" s="37"/>
    </row>
    <row r="13" spans="1:21">
      <c r="A13" s="10">
        <v>10</v>
      </c>
      <c r="B13" s="38">
        <v>196</v>
      </c>
      <c r="C13" s="38">
        <v>27</v>
      </c>
      <c r="D13" s="41" t="str">
        <f t="shared" si="0"/>
        <v>7, 3, 1, 6</v>
      </c>
      <c r="E13" s="10">
        <f t="shared" si="1"/>
        <v>7</v>
      </c>
      <c r="O13" s="18"/>
      <c r="P13" s="37"/>
      <c r="Q13" s="37"/>
      <c r="R13" s="37"/>
      <c r="S13" s="37"/>
      <c r="T13" s="37"/>
      <c r="U13" s="37"/>
    </row>
    <row r="14" spans="1:21">
      <c r="A14" s="10">
        <v>11</v>
      </c>
      <c r="B14" s="38">
        <v>85</v>
      </c>
      <c r="C14" s="38">
        <v>37</v>
      </c>
      <c r="D14" s="41" t="str">
        <f t="shared" si="0"/>
        <v>2, 3, 2, 1, 3</v>
      </c>
      <c r="E14" s="10">
        <f t="shared" si="1"/>
        <v>2</v>
      </c>
      <c r="O14" s="18"/>
      <c r="P14" s="37"/>
      <c r="Q14" s="37"/>
      <c r="R14" s="37"/>
      <c r="S14" s="37"/>
      <c r="T14" s="37"/>
      <c r="U14" s="37"/>
    </row>
    <row r="15" spans="1:21">
      <c r="A15" s="10">
        <v>12</v>
      </c>
      <c r="B15" s="38">
        <v>285</v>
      </c>
      <c r="C15" s="38">
        <v>126</v>
      </c>
      <c r="D15" s="41" t="str">
        <f t="shared" si="0"/>
        <v>2, 3, 1, 4, 2</v>
      </c>
      <c r="E15" s="10">
        <f t="shared" si="1"/>
        <v>2</v>
      </c>
      <c r="O15" s="18"/>
      <c r="P15" s="37"/>
      <c r="Q15" s="37"/>
      <c r="R15" s="37"/>
      <c r="S15" s="37"/>
      <c r="T15" s="37"/>
      <c r="U15" s="37"/>
    </row>
    <row r="16" spans="1:21">
      <c r="A16" s="10">
        <v>13</v>
      </c>
      <c r="B16" s="38">
        <v>547</v>
      </c>
      <c r="C16" s="38">
        <v>232</v>
      </c>
      <c r="D16" s="41" t="str">
        <f t="shared" si="0"/>
        <v>2, 2, 1, 3, 1, 7, 2</v>
      </c>
      <c r="E16" s="10">
        <f t="shared" si="1"/>
        <v>2</v>
      </c>
      <c r="O16" s="18"/>
      <c r="P16" s="37"/>
      <c r="Q16" s="37"/>
      <c r="R16" s="37"/>
      <c r="S16" s="37"/>
      <c r="T16" s="37"/>
      <c r="U16" s="37"/>
    </row>
    <row r="17" spans="1:24">
      <c r="A17" s="10">
        <v>14</v>
      </c>
      <c r="B17" s="38">
        <v>3217</v>
      </c>
      <c r="C17" s="38">
        <v>1900</v>
      </c>
      <c r="D17" s="41" t="str">
        <f t="shared" si="0"/>
        <v>1, 1, 2, 3, 1, 6, 5, 4</v>
      </c>
      <c r="E17" s="10">
        <f t="shared" si="1"/>
        <v>1</v>
      </c>
      <c r="O17" s="18"/>
      <c r="P17" s="37"/>
      <c r="Q17" s="37"/>
      <c r="R17" s="37"/>
      <c r="S17" s="37"/>
      <c r="T17" s="37"/>
      <c r="U17" s="37"/>
    </row>
    <row r="18" spans="1:24">
      <c r="A18" s="10">
        <v>15</v>
      </c>
      <c r="B18" s="38">
        <v>2308</v>
      </c>
      <c r="C18" s="38">
        <v>1421</v>
      </c>
      <c r="D18" s="41" t="str">
        <f t="shared" si="0"/>
        <v>1, 1, 1, 1, 1, 1, 19, 9</v>
      </c>
      <c r="E18" s="10">
        <f t="shared" si="1"/>
        <v>1</v>
      </c>
      <c r="O18" s="18"/>
      <c r="P18" s="37"/>
      <c r="Q18" s="37"/>
      <c r="R18" s="37"/>
      <c r="S18" s="37"/>
      <c r="T18" s="37"/>
      <c r="U18" s="37"/>
    </row>
    <row r="19" spans="1:24">
      <c r="D19" s="73"/>
      <c r="O19" s="18"/>
      <c r="P19" s="37"/>
      <c r="Q19" s="37"/>
      <c r="R19" s="37"/>
      <c r="S19" s="37"/>
      <c r="T19" s="37"/>
      <c r="U19" s="37"/>
    </row>
    <row r="20" spans="1:24">
      <c r="O20" s="18"/>
      <c r="P20" s="37"/>
      <c r="Q20" s="37"/>
      <c r="R20" s="37"/>
      <c r="S20" s="37"/>
      <c r="T20" s="37"/>
      <c r="U20" s="37"/>
    </row>
    <row r="21" spans="1:24">
      <c r="E21" s="30"/>
      <c r="F21" s="30"/>
      <c r="G21" s="11" t="s">
        <v>280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32">
      <c r="G22" s="12" t="s">
        <v>4</v>
      </c>
      <c r="H22" s="31" t="s">
        <v>220</v>
      </c>
      <c r="I22" s="31" t="s">
        <v>265</v>
      </c>
      <c r="J22" s="31" t="s">
        <v>266</v>
      </c>
      <c r="K22" s="31" t="s">
        <v>267</v>
      </c>
      <c r="L22" s="31" t="s">
        <v>268</v>
      </c>
      <c r="M22" s="31" t="s">
        <v>269</v>
      </c>
      <c r="N22" s="31" t="s">
        <v>270</v>
      </c>
      <c r="O22" s="31" t="s">
        <v>281</v>
      </c>
      <c r="P22" s="31" t="s">
        <v>282</v>
      </c>
      <c r="Q22" s="31" t="s">
        <v>271</v>
      </c>
      <c r="R22" s="31" t="s">
        <v>272</v>
      </c>
      <c r="S22" s="31" t="s">
        <v>273</v>
      </c>
      <c r="T22" s="31" t="s">
        <v>274</v>
      </c>
      <c r="U22" s="31" t="s">
        <v>275</v>
      </c>
      <c r="V22" s="31" t="s">
        <v>276</v>
      </c>
      <c r="W22" s="31" t="s">
        <v>283</v>
      </c>
      <c r="X22" s="31" t="s">
        <v>284</v>
      </c>
    </row>
    <row r="23" spans="1:24">
      <c r="G23" s="38">
        <v>1</v>
      </c>
      <c r="H23" s="38">
        <v>0</v>
      </c>
      <c r="I23" s="38">
        <v>0</v>
      </c>
      <c r="J23" s="38">
        <v>2</v>
      </c>
      <c r="K23" s="38">
        <v>8</v>
      </c>
      <c r="L23" s="38"/>
      <c r="M23" s="38"/>
      <c r="N23" s="15"/>
      <c r="O23" s="18"/>
      <c r="P23" s="37"/>
      <c r="Q23" s="15">
        <f>H23</f>
        <v>0</v>
      </c>
      <c r="R23" s="37" t="str">
        <f>Quebrado(0,H23*J23+1,J23)</f>
        <v>1/2</v>
      </c>
      <c r="S23" s="37" t="str">
        <f>Quebrado(0,K23*(J23*I23+1)+I23,K23*J23+1)</f>
        <v>8/17</v>
      </c>
      <c r="T23" s="37"/>
      <c r="U23" s="37"/>
      <c r="V23" s="36"/>
      <c r="W23" s="37"/>
      <c r="X23" s="36"/>
    </row>
    <row r="24" spans="1:24">
      <c r="G24" s="38">
        <v>2</v>
      </c>
      <c r="H24" s="38">
        <v>0</v>
      </c>
      <c r="I24" s="38">
        <v>0</v>
      </c>
      <c r="J24" s="38">
        <v>2</v>
      </c>
      <c r="K24" s="38">
        <v>1</v>
      </c>
      <c r="L24" s="38">
        <v>2</v>
      </c>
      <c r="M24" s="38">
        <v>2</v>
      </c>
      <c r="N24" s="15"/>
      <c r="O24" s="18"/>
      <c r="P24" s="37"/>
      <c r="Q24" s="15">
        <f t="shared" ref="Q24:Q37" si="6">H24</f>
        <v>0</v>
      </c>
      <c r="R24" s="37" t="str">
        <f t="shared" ref="R24:R37" si="7">Quebrado(0,H24*J24+1,J24)</f>
        <v>1/2</v>
      </c>
      <c r="S24" s="37" t="str">
        <f t="shared" ref="S24:S37" si="8">Quebrado(0,K24*(J24*I24+1)+I24,K24*J24+1)</f>
        <v>1/3</v>
      </c>
      <c r="T24" s="37" t="str">
        <f t="shared" ref="T24:T37" si="9">Quebrado(0,(K24*(J24*I24+1)+I24)*L24+H24*J24+1,(K24*J24+1)*L24+J24)</f>
        <v>3/8</v>
      </c>
      <c r="U24" s="37" t="str">
        <f t="shared" ref="U24:U37" si="10">Quebrado(0,((K24*(J24*I24+1)+I24)*L24+H24*J24+1)*M24+K24*(J24*I24+1)+I24,((K24*J24+1)*L24+J24)*M24+K24*J24+1)</f>
        <v>7/19</v>
      </c>
      <c r="V24" s="36"/>
      <c r="W24" s="37"/>
      <c r="X24" s="36"/>
    </row>
    <row r="25" spans="1:24">
      <c r="G25" s="38">
        <v>3</v>
      </c>
      <c r="H25" s="38">
        <v>0</v>
      </c>
      <c r="I25" s="38">
        <v>0</v>
      </c>
      <c r="J25" s="38">
        <v>1</v>
      </c>
      <c r="K25" s="38">
        <v>6</v>
      </c>
      <c r="L25" s="38">
        <v>11</v>
      </c>
      <c r="M25" s="38"/>
      <c r="N25" s="15"/>
      <c r="O25" s="38"/>
      <c r="P25" s="38"/>
      <c r="Q25" s="15">
        <f t="shared" si="6"/>
        <v>0</v>
      </c>
      <c r="R25" s="37" t="str">
        <f t="shared" si="7"/>
        <v>1/1</v>
      </c>
      <c r="S25" s="37" t="str">
        <f t="shared" si="8"/>
        <v>6/7</v>
      </c>
      <c r="T25" s="37" t="str">
        <f t="shared" si="9"/>
        <v>67/78</v>
      </c>
      <c r="U25" s="37"/>
      <c r="V25" s="36"/>
      <c r="W25" s="37"/>
      <c r="X25" s="36"/>
    </row>
    <row r="26" spans="1:24">
      <c r="G26" s="38">
        <v>4</v>
      </c>
      <c r="H26" s="38">
        <v>0</v>
      </c>
      <c r="I26" s="38">
        <v>0</v>
      </c>
      <c r="J26" s="38">
        <v>55</v>
      </c>
      <c r="K26" s="38">
        <v>3</v>
      </c>
      <c r="L26" s="38">
        <v>1</v>
      </c>
      <c r="M26" s="38">
        <v>4</v>
      </c>
      <c r="N26" s="15"/>
      <c r="O26" s="38"/>
      <c r="P26" s="38"/>
      <c r="Q26" s="15">
        <f t="shared" si="6"/>
        <v>0</v>
      </c>
      <c r="R26" s="37" t="str">
        <f t="shared" si="7"/>
        <v>1/55</v>
      </c>
      <c r="S26" s="37" t="str">
        <f t="shared" si="8"/>
        <v>3/166</v>
      </c>
      <c r="T26" s="37" t="str">
        <f t="shared" si="9"/>
        <v>4/221</v>
      </c>
      <c r="U26" s="37" t="str">
        <f t="shared" si="10"/>
        <v>19/1050</v>
      </c>
      <c r="V26" s="36"/>
      <c r="W26" s="37"/>
      <c r="X26" s="36"/>
    </row>
    <row r="27" spans="1:24">
      <c r="G27" s="38">
        <v>5</v>
      </c>
      <c r="H27" s="38">
        <v>0</v>
      </c>
      <c r="I27" s="38">
        <v>0</v>
      </c>
      <c r="J27" s="38">
        <v>21</v>
      </c>
      <c r="K27" s="38">
        <v>2</v>
      </c>
      <c r="L27" s="38">
        <v>1</v>
      </c>
      <c r="M27" s="38">
        <v>2</v>
      </c>
      <c r="N27" s="15">
        <v>16</v>
      </c>
      <c r="O27" s="38"/>
      <c r="P27" s="38"/>
      <c r="Q27" s="15">
        <f t="shared" si="6"/>
        <v>0</v>
      </c>
      <c r="R27" s="37" t="str">
        <f t="shared" si="7"/>
        <v>1/21</v>
      </c>
      <c r="S27" s="37" t="str">
        <f t="shared" si="8"/>
        <v>2/43</v>
      </c>
      <c r="T27" s="37" t="str">
        <f t="shared" si="9"/>
        <v>3/64</v>
      </c>
      <c r="U27" s="37" t="str">
        <f t="shared" si="10"/>
        <v>8/171</v>
      </c>
      <c r="V27" s="36" t="str">
        <f t="shared" ref="V27:V37" si="11">Quebrado(0,(((K27*(J27*I27+1)+I27)*L27+H27*J27+1)*M27+K27*(J27*I27+1)+I27)*N27+(K27*(J27*I27+1)+I27)*L27+H27*J27+1,(((K27*J27+1)*L27+J27)*M27+K27*J27+1)*N27+(K27*J27+1)*L27+J27)</f>
        <v>131/2800</v>
      </c>
      <c r="W27" s="37"/>
      <c r="X27" s="36"/>
    </row>
    <row r="28" spans="1:24">
      <c r="G28" s="38">
        <v>6</v>
      </c>
      <c r="H28" s="38">
        <v>0</v>
      </c>
      <c r="I28" s="38">
        <v>0</v>
      </c>
      <c r="J28" s="38">
        <v>3</v>
      </c>
      <c r="K28" s="38">
        <v>2</v>
      </c>
      <c r="L28" s="38">
        <v>3</v>
      </c>
      <c r="M28" s="38">
        <v>3</v>
      </c>
      <c r="N28" s="38"/>
      <c r="O28" s="38"/>
      <c r="P28" s="38"/>
      <c r="Q28" s="15">
        <f t="shared" si="6"/>
        <v>0</v>
      </c>
      <c r="R28" s="37" t="str">
        <f>Quebrado(0,H28*J28+1,J28)</f>
        <v>1/3</v>
      </c>
      <c r="S28" s="37" t="str">
        <f>Quebrado(0,K28*(J28*I28+1)+I28,K28*J28+1)</f>
        <v>2/7</v>
      </c>
      <c r="T28" s="37" t="str">
        <f>Quebrado(0,(K28*(J28*I28+1)+I28)*L28+H28*J28+1,(K28*J28+1)*L28+J28)</f>
        <v>7/24</v>
      </c>
      <c r="U28" s="37" t="str">
        <f>Quebrado(0,((K28*(J28*I28+1)+I28)*L28+H28*J28+1)*M28+K28*(J28*I28+1)+I28,((K28*J28+1)*L28+J28)*M28+K28*J28+1)</f>
        <v>23/79</v>
      </c>
      <c r="V28" s="36"/>
      <c r="W28" s="37"/>
      <c r="X28" s="36"/>
    </row>
    <row r="29" spans="1:24">
      <c r="G29" s="38">
        <v>7</v>
      </c>
      <c r="H29" s="38">
        <v>0</v>
      </c>
      <c r="I29" s="38">
        <v>0</v>
      </c>
      <c r="J29" s="38">
        <v>65</v>
      </c>
      <c r="K29" s="38">
        <v>1</v>
      </c>
      <c r="L29" s="38">
        <v>4</v>
      </c>
      <c r="M29" s="38">
        <v>6</v>
      </c>
      <c r="N29" s="38"/>
      <c r="O29" s="38"/>
      <c r="P29" s="38"/>
      <c r="Q29" s="15">
        <f t="shared" si="6"/>
        <v>0</v>
      </c>
      <c r="R29" s="37" t="str">
        <f t="shared" si="7"/>
        <v>1/65</v>
      </c>
      <c r="S29" s="37" t="str">
        <f t="shared" si="8"/>
        <v>1/66</v>
      </c>
      <c r="T29" s="37" t="str">
        <f t="shared" si="9"/>
        <v>5/329</v>
      </c>
      <c r="U29" s="37" t="str">
        <f t="shared" si="10"/>
        <v>31/2040</v>
      </c>
      <c r="V29" s="36"/>
      <c r="W29" s="37"/>
      <c r="X29" s="36"/>
    </row>
    <row r="30" spans="1:24">
      <c r="G30" s="38">
        <v>8</v>
      </c>
      <c r="H30" s="38">
        <v>0</v>
      </c>
      <c r="I30" s="38">
        <v>0</v>
      </c>
      <c r="J30" s="38">
        <v>8</v>
      </c>
      <c r="K30" s="38">
        <v>1</v>
      </c>
      <c r="L30" s="38">
        <v>2</v>
      </c>
      <c r="M30" s="38">
        <v>1</v>
      </c>
      <c r="N30" s="38">
        <v>3</v>
      </c>
      <c r="O30" s="38"/>
      <c r="P30" s="38"/>
      <c r="Q30" s="15">
        <f t="shared" si="6"/>
        <v>0</v>
      </c>
      <c r="R30" s="37" t="str">
        <f t="shared" si="7"/>
        <v>1/8</v>
      </c>
      <c r="S30" s="37" t="str">
        <f t="shared" si="8"/>
        <v>1/9</v>
      </c>
      <c r="T30" s="37" t="str">
        <f t="shared" si="9"/>
        <v>3/26</v>
      </c>
      <c r="U30" s="37" t="str">
        <f t="shared" si="10"/>
        <v>4/35</v>
      </c>
      <c r="V30" s="36" t="str">
        <f t="shared" si="11"/>
        <v>15/131</v>
      </c>
      <c r="W30" s="37"/>
      <c r="X30" s="36"/>
    </row>
    <row r="31" spans="1:24">
      <c r="G31" s="38">
        <v>9</v>
      </c>
      <c r="H31" s="38">
        <v>0</v>
      </c>
      <c r="I31" s="38">
        <v>0</v>
      </c>
      <c r="J31" s="38">
        <v>17</v>
      </c>
      <c r="K31" s="38">
        <v>1</v>
      </c>
      <c r="L31" s="38">
        <v>5</v>
      </c>
      <c r="M31" s="38">
        <v>1</v>
      </c>
      <c r="N31" s="38">
        <v>1</v>
      </c>
      <c r="O31" s="38">
        <v>2</v>
      </c>
      <c r="P31" s="38">
        <v>2</v>
      </c>
      <c r="Q31" s="15">
        <f t="shared" si="6"/>
        <v>0</v>
      </c>
      <c r="R31" s="37" t="str">
        <f t="shared" si="7"/>
        <v>1/17</v>
      </c>
      <c r="S31" s="37" t="str">
        <f t="shared" si="8"/>
        <v>1/18</v>
      </c>
      <c r="T31" s="37" t="str">
        <f t="shared" si="9"/>
        <v>6/107</v>
      </c>
      <c r="U31" s="37" t="str">
        <f t="shared" si="10"/>
        <v>7/125</v>
      </c>
      <c r="V31" s="36" t="str">
        <f t="shared" si="11"/>
        <v>13/232</v>
      </c>
      <c r="W31" s="37" t="str">
        <f t="shared" ref="W31:W37" si="12">Quebrado(0,((((K31*(J31*I31+1)+I31)*L31+H31*J31+1)*M31+K31*(J31*I31+1)+I31)*N31+(K31*(J31*I31+1)+I31)*L31+H31*J31+1)*O31+((K31*(J31*I31+1)+I31)*L31+H31*J31+1)*M31+K31*(J31*I31+1)+I31,((((K31*J31+1)*L31+J31)*M31+K31*J31+1)*N31+(K31*J31+1)*L31+J31)*O31+((K31*J31+1)*L31+J31)*M31+K31*J31+1)</f>
        <v>33/589</v>
      </c>
      <c r="X31" s="36" t="str">
        <f t="shared" ref="X31:X37" si="13">Quebrado(0,(((((K31*(J31*I31+1)+I31)*L31+H31*J31+1)*M31+K31*(J31*I31+1)+I31)*N31+(K31*(J31*I31+1)+I31)*L31+H31*J31+1)*O31+((K31*(J31*I31+1)+I31)*L31+H31*J31+1)*M31+K31*(J31*I31+1)+I31)*P31+(((K31*(J31*I31+1)+I31)*L31+H31*J31+1)*M31+K31*(J31*I31+1)+I31)*N31+(K31*(J31*I31+1)+I31)*L31+H31*J31+1,(((((K31*J31+1)*L31+J31)*M31+K31*J31+1)*N31+(K31*J31+1)*L31+J31)*O31+((K31*J31+1)*L31+J31)*M31+K31*J31+1)*P31+(((K31*J31+1)*L31+J31)*M31+K31*J31+1)*N31+(K31*J31+1)*L31+J31)</f>
        <v>79/1410</v>
      </c>
    </row>
    <row r="32" spans="1:24">
      <c r="G32" s="38">
        <v>10</v>
      </c>
      <c r="H32" s="38">
        <v>7</v>
      </c>
      <c r="I32" s="38">
        <v>7</v>
      </c>
      <c r="J32" s="38">
        <v>3</v>
      </c>
      <c r="K32" s="38">
        <v>1</v>
      </c>
      <c r="L32" s="38">
        <v>6</v>
      </c>
      <c r="M32" s="38"/>
      <c r="N32" s="38"/>
      <c r="O32" s="38"/>
      <c r="P32" s="38"/>
      <c r="Q32" s="15">
        <f t="shared" si="6"/>
        <v>7</v>
      </c>
      <c r="R32" s="37" t="str">
        <f t="shared" si="7"/>
        <v>22/3</v>
      </c>
      <c r="S32" s="37" t="str">
        <f t="shared" si="8"/>
        <v>29/4</v>
      </c>
      <c r="T32" s="37" t="str">
        <f t="shared" si="9"/>
        <v>196/27</v>
      </c>
      <c r="U32" s="37"/>
      <c r="V32" s="36"/>
      <c r="W32" s="37"/>
      <c r="X32" s="36"/>
    </row>
    <row r="33" spans="6:24">
      <c r="G33" s="38">
        <v>11</v>
      </c>
      <c r="H33" s="38">
        <v>2</v>
      </c>
      <c r="I33" s="38">
        <v>2</v>
      </c>
      <c r="J33" s="38">
        <v>3</v>
      </c>
      <c r="K33" s="38">
        <v>2</v>
      </c>
      <c r="L33" s="38">
        <v>1</v>
      </c>
      <c r="M33" s="38">
        <v>3</v>
      </c>
      <c r="N33" s="38"/>
      <c r="O33" s="38"/>
      <c r="P33" s="38"/>
      <c r="Q33" s="15">
        <f t="shared" si="6"/>
        <v>2</v>
      </c>
      <c r="R33" s="37" t="str">
        <f t="shared" si="7"/>
        <v>7/3</v>
      </c>
      <c r="S33" s="37" t="str">
        <f t="shared" si="8"/>
        <v>16/7</v>
      </c>
      <c r="T33" s="37" t="str">
        <f t="shared" si="9"/>
        <v>23/10</v>
      </c>
      <c r="U33" s="37" t="str">
        <f t="shared" si="10"/>
        <v>85/37</v>
      </c>
      <c r="V33" s="36"/>
      <c r="W33" s="37"/>
      <c r="X33" s="36"/>
    </row>
    <row r="34" spans="6:24">
      <c r="G34" s="38">
        <v>12</v>
      </c>
      <c r="H34" s="38">
        <v>2</v>
      </c>
      <c r="I34" s="38">
        <v>2</v>
      </c>
      <c r="J34" s="38">
        <v>3</v>
      </c>
      <c r="K34" s="38">
        <v>1</v>
      </c>
      <c r="L34" s="38">
        <v>4</v>
      </c>
      <c r="M34" s="38">
        <v>2</v>
      </c>
      <c r="N34" s="38"/>
      <c r="O34" s="38"/>
      <c r="P34" s="38"/>
      <c r="Q34" s="15">
        <f t="shared" si="6"/>
        <v>2</v>
      </c>
      <c r="R34" s="37" t="str">
        <f t="shared" si="7"/>
        <v>7/3</v>
      </c>
      <c r="S34" s="37" t="str">
        <f t="shared" si="8"/>
        <v>9/4</v>
      </c>
      <c r="T34" s="37" t="str">
        <f t="shared" si="9"/>
        <v>43/19</v>
      </c>
      <c r="U34" s="37" t="str">
        <f t="shared" si="10"/>
        <v>95/42</v>
      </c>
      <c r="V34" s="36"/>
      <c r="W34" s="37"/>
      <c r="X34" s="36"/>
    </row>
    <row r="35" spans="6:24">
      <c r="G35" s="38">
        <v>13</v>
      </c>
      <c r="H35" s="38">
        <v>2</v>
      </c>
      <c r="I35" s="38">
        <v>2</v>
      </c>
      <c r="J35" s="38">
        <v>2</v>
      </c>
      <c r="K35" s="38">
        <v>1</v>
      </c>
      <c r="L35" s="38">
        <v>3</v>
      </c>
      <c r="M35" s="38">
        <v>1</v>
      </c>
      <c r="N35" s="38">
        <v>7</v>
      </c>
      <c r="O35" s="38">
        <v>2</v>
      </c>
      <c r="Q35" s="15">
        <f t="shared" si="6"/>
        <v>2</v>
      </c>
      <c r="R35" s="37" t="str">
        <f t="shared" si="7"/>
        <v>5/2</v>
      </c>
      <c r="S35" s="37" t="str">
        <f t="shared" si="8"/>
        <v>7/3</v>
      </c>
      <c r="T35" s="37" t="str">
        <f t="shared" si="9"/>
        <v>26/11</v>
      </c>
      <c r="U35" s="37" t="str">
        <f t="shared" si="10"/>
        <v>33/14</v>
      </c>
      <c r="V35" s="36" t="str">
        <f t="shared" si="11"/>
        <v>257/109</v>
      </c>
      <c r="W35" s="37" t="str">
        <f t="shared" si="12"/>
        <v>547/232</v>
      </c>
      <c r="X35" s="36"/>
    </row>
    <row r="36" spans="6:24">
      <c r="G36" s="38">
        <v>14</v>
      </c>
      <c r="H36" s="38">
        <v>1</v>
      </c>
      <c r="I36" s="38">
        <v>1</v>
      </c>
      <c r="J36" s="38">
        <v>1</v>
      </c>
      <c r="K36" s="38">
        <v>2</v>
      </c>
      <c r="L36" s="38">
        <v>3</v>
      </c>
      <c r="M36" s="38">
        <v>1</v>
      </c>
      <c r="N36" s="38">
        <v>6</v>
      </c>
      <c r="O36" s="38">
        <v>5</v>
      </c>
      <c r="P36" s="38">
        <v>4</v>
      </c>
      <c r="Q36" s="15">
        <f t="shared" si="6"/>
        <v>1</v>
      </c>
      <c r="R36" s="37" t="str">
        <f t="shared" si="7"/>
        <v>2/1</v>
      </c>
      <c r="S36" s="37" t="str">
        <f t="shared" si="8"/>
        <v>5/3</v>
      </c>
      <c r="T36" s="37" t="str">
        <f t="shared" si="9"/>
        <v>17/10</v>
      </c>
      <c r="U36" s="37" t="str">
        <f t="shared" si="10"/>
        <v>22/13</v>
      </c>
      <c r="V36" s="36" t="str">
        <f t="shared" si="11"/>
        <v>149/88</v>
      </c>
      <c r="W36" s="37" t="str">
        <f t="shared" si="12"/>
        <v>767/453</v>
      </c>
      <c r="X36" s="36" t="str">
        <f t="shared" si="13"/>
        <v>3217/1900</v>
      </c>
    </row>
    <row r="37" spans="6:24">
      <c r="G37" s="38">
        <v>15</v>
      </c>
      <c r="H37" s="38">
        <v>1</v>
      </c>
      <c r="I37" s="38">
        <v>1</v>
      </c>
      <c r="J37" s="38">
        <v>1</v>
      </c>
      <c r="K37" s="38">
        <v>1</v>
      </c>
      <c r="L37" s="38">
        <v>1</v>
      </c>
      <c r="M37" s="38">
        <v>1</v>
      </c>
      <c r="N37" s="38">
        <v>1</v>
      </c>
      <c r="O37" s="38">
        <v>19</v>
      </c>
      <c r="P37" s="38">
        <v>9</v>
      </c>
      <c r="Q37" s="15">
        <f t="shared" si="6"/>
        <v>1</v>
      </c>
      <c r="R37" s="37" t="str">
        <f t="shared" si="7"/>
        <v>2/1</v>
      </c>
      <c r="S37" s="37" t="str">
        <f t="shared" si="8"/>
        <v>3/2</v>
      </c>
      <c r="T37" s="37" t="str">
        <f t="shared" si="9"/>
        <v>5/3</v>
      </c>
      <c r="U37" s="37" t="str">
        <f t="shared" si="10"/>
        <v>8/5</v>
      </c>
      <c r="V37" s="36" t="str">
        <f t="shared" si="11"/>
        <v>13/8</v>
      </c>
      <c r="W37" s="37" t="str">
        <f t="shared" si="12"/>
        <v>255/157</v>
      </c>
      <c r="X37" s="36" t="str">
        <f t="shared" si="13"/>
        <v>2308/1421</v>
      </c>
    </row>
    <row r="43" spans="6:24">
      <c r="F43" s="31"/>
    </row>
  </sheetData>
  <mergeCells count="3">
    <mergeCell ref="A2:E2"/>
    <mergeCell ref="G2:N2"/>
    <mergeCell ref="G21:X2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/>
  <dimension ref="A1:BH212"/>
  <sheetViews>
    <sheetView workbookViewId="0"/>
  </sheetViews>
  <sheetFormatPr baseColWidth="10" defaultRowHeight="15"/>
  <cols>
    <col min="1" max="1" width="9.33203125" style="10" customWidth="1"/>
    <col min="2" max="2" width="11" style="10" customWidth="1"/>
    <col min="3" max="3" width="12.6640625" style="10" customWidth="1"/>
    <col min="4" max="4" width="13.83203125" style="10" customWidth="1"/>
    <col min="5" max="5" width="13.33203125" style="10" customWidth="1"/>
    <col min="6" max="6" width="12.6640625" style="10" customWidth="1"/>
    <col min="7" max="7" width="9.33203125" style="10" customWidth="1"/>
    <col min="8" max="8" width="16.1640625" style="10" customWidth="1"/>
    <col min="9" max="11" width="10.83203125" style="10"/>
    <col min="12" max="12" width="9.5" style="10" customWidth="1"/>
    <col min="13" max="14" width="10.83203125" style="10"/>
    <col min="15" max="15" width="13" style="10" customWidth="1"/>
    <col min="16" max="16" width="10.83203125" style="10"/>
    <col min="17" max="17" width="9.6640625" style="10" customWidth="1"/>
    <col min="18" max="19" width="10.83203125" style="10"/>
    <col min="20" max="20" width="14.5" style="10" customWidth="1"/>
    <col min="21" max="23" width="10.83203125" style="10"/>
    <col min="24" max="24" width="15.5" style="10" customWidth="1"/>
    <col min="25" max="25" width="10.83203125" style="10"/>
    <col min="26" max="26" width="9.5" style="10" customWidth="1"/>
    <col min="27" max="32" width="10.83203125" style="10"/>
    <col min="33" max="33" width="9.5" style="10" customWidth="1"/>
    <col min="34" max="39" width="10.83203125" style="10"/>
    <col min="40" max="40" width="14.1640625" style="10" customWidth="1"/>
    <col min="41" max="41" width="10.83203125" style="10"/>
    <col min="42" max="42" width="9.5" style="10" customWidth="1"/>
    <col min="43" max="44" width="10.83203125" style="10"/>
    <col min="45" max="45" width="15.83203125" style="10" customWidth="1"/>
    <col min="46" max="48" width="10.83203125" style="10"/>
    <col min="49" max="49" width="9.33203125" style="10" customWidth="1"/>
    <col min="50" max="50" width="9.1640625" style="10" customWidth="1"/>
    <col min="51" max="51" width="9" style="10" customWidth="1"/>
    <col min="52" max="52" width="7.5" style="10" customWidth="1"/>
    <col min="53" max="53" width="10.83203125" style="10"/>
    <col min="54" max="54" width="9.5" style="10" customWidth="1"/>
    <col min="55" max="55" width="9" style="10" customWidth="1"/>
    <col min="56" max="58" width="10.83203125" style="10"/>
    <col min="59" max="59" width="9.5" style="10" customWidth="1"/>
    <col min="60" max="16384" width="10.83203125" style="10"/>
  </cols>
  <sheetData>
    <row r="1" spans="1:60" ht="100" customHeight="1"/>
    <row r="2" spans="1:60">
      <c r="A2" s="11" t="s">
        <v>230</v>
      </c>
      <c r="B2" s="11"/>
      <c r="C2" s="11"/>
      <c r="D2" s="11"/>
      <c r="E2" s="11"/>
      <c r="G2" s="11" t="s">
        <v>229</v>
      </c>
      <c r="H2" s="11"/>
      <c r="I2" s="11"/>
      <c r="J2" s="11"/>
      <c r="L2" s="11" t="s">
        <v>228</v>
      </c>
      <c r="M2" s="11"/>
      <c r="N2" s="11"/>
      <c r="O2" s="11"/>
      <c r="Q2" s="11" t="s">
        <v>227</v>
      </c>
      <c r="R2" s="11"/>
      <c r="S2" s="11"/>
      <c r="T2" s="11"/>
      <c r="U2" s="11"/>
      <c r="V2" s="11"/>
      <c r="W2" s="11"/>
      <c r="X2" s="11"/>
      <c r="Z2" s="11" t="s">
        <v>226</v>
      </c>
      <c r="AA2" s="11"/>
      <c r="AB2" s="11"/>
      <c r="AC2" s="11"/>
      <c r="AD2" s="11"/>
      <c r="AE2" s="11"/>
      <c r="AG2" s="11" t="s">
        <v>225</v>
      </c>
      <c r="AH2" s="11"/>
      <c r="AI2" s="11"/>
      <c r="AJ2" s="11"/>
      <c r="AK2" s="11"/>
      <c r="AL2" s="11"/>
      <c r="AM2" s="11"/>
      <c r="AN2" s="11"/>
      <c r="AP2" s="11" t="s">
        <v>224</v>
      </c>
      <c r="AQ2" s="11"/>
      <c r="AR2" s="11"/>
      <c r="AS2" s="11"/>
      <c r="AT2" s="30"/>
      <c r="AU2" s="30"/>
      <c r="AW2" s="11" t="s">
        <v>223</v>
      </c>
      <c r="AX2" s="11"/>
      <c r="AY2" s="11"/>
      <c r="AZ2" s="11"/>
      <c r="BB2" s="11" t="s">
        <v>222</v>
      </c>
      <c r="BC2" s="11"/>
      <c r="BD2" s="11"/>
      <c r="BE2" s="11"/>
      <c r="BG2" s="11" t="s">
        <v>221</v>
      </c>
      <c r="BH2" s="11"/>
    </row>
    <row r="3" spans="1:60" ht="32">
      <c r="A3" s="12" t="s">
        <v>4</v>
      </c>
      <c r="B3" s="31" t="s">
        <v>220</v>
      </c>
      <c r="C3" s="31" t="s">
        <v>85</v>
      </c>
      <c r="D3" s="31" t="s">
        <v>86</v>
      </c>
      <c r="E3" s="31" t="s">
        <v>5</v>
      </c>
      <c r="G3" s="12" t="s">
        <v>4</v>
      </c>
      <c r="H3" s="31" t="s">
        <v>45</v>
      </c>
      <c r="I3" s="31" t="s">
        <v>219</v>
      </c>
      <c r="J3" s="31" t="s">
        <v>196</v>
      </c>
      <c r="L3" s="12" t="s">
        <v>4</v>
      </c>
      <c r="M3" s="31" t="s">
        <v>45</v>
      </c>
      <c r="N3" s="31" t="s">
        <v>219</v>
      </c>
      <c r="O3" s="31" t="s">
        <v>196</v>
      </c>
      <c r="Q3" s="12" t="s">
        <v>4</v>
      </c>
      <c r="R3" s="31" t="s">
        <v>218</v>
      </c>
      <c r="S3" s="31" t="s">
        <v>217</v>
      </c>
      <c r="T3" s="31" t="s">
        <v>216</v>
      </c>
      <c r="U3" s="31" t="s">
        <v>215</v>
      </c>
      <c r="V3" s="31" t="s">
        <v>214</v>
      </c>
      <c r="W3" s="31" t="s">
        <v>213</v>
      </c>
      <c r="X3" s="31" t="s">
        <v>196</v>
      </c>
      <c r="Z3" s="12" t="s">
        <v>4</v>
      </c>
      <c r="AA3" s="31" t="s">
        <v>212</v>
      </c>
      <c r="AB3" s="31" t="s">
        <v>211</v>
      </c>
      <c r="AC3" s="31" t="s">
        <v>210</v>
      </c>
      <c r="AD3" s="31" t="s">
        <v>209</v>
      </c>
      <c r="AE3" s="31" t="s">
        <v>196</v>
      </c>
      <c r="AG3" s="12" t="s">
        <v>4</v>
      </c>
      <c r="AH3" s="31" t="s">
        <v>208</v>
      </c>
      <c r="AI3" s="31" t="s">
        <v>207</v>
      </c>
      <c r="AJ3" s="31" t="s">
        <v>206</v>
      </c>
      <c r="AK3" s="31" t="s">
        <v>205</v>
      </c>
      <c r="AL3" s="31" t="s">
        <v>204</v>
      </c>
      <c r="AM3" s="31" t="s">
        <v>203</v>
      </c>
      <c r="AN3" s="31" t="s">
        <v>196</v>
      </c>
      <c r="AP3" s="12" t="s">
        <v>4</v>
      </c>
      <c r="AQ3" s="31" t="s">
        <v>202</v>
      </c>
      <c r="AR3" s="31" t="s">
        <v>201</v>
      </c>
      <c r="AS3" s="31" t="s">
        <v>196</v>
      </c>
      <c r="AT3" s="31"/>
      <c r="AW3" s="12" t="s">
        <v>4</v>
      </c>
      <c r="AX3" s="31" t="s">
        <v>202</v>
      </c>
      <c r="AY3" s="31" t="s">
        <v>201</v>
      </c>
      <c r="AZ3" s="31" t="s">
        <v>196</v>
      </c>
      <c r="BB3" s="12" t="s">
        <v>4</v>
      </c>
      <c r="BC3" s="31" t="s">
        <v>202</v>
      </c>
      <c r="BD3" s="31" t="s">
        <v>201</v>
      </c>
      <c r="BE3" s="31" t="s">
        <v>196</v>
      </c>
      <c r="BG3" s="12" t="s">
        <v>4</v>
      </c>
      <c r="BH3" s="31" t="s">
        <v>196</v>
      </c>
    </row>
    <row r="4" spans="1:60">
      <c r="A4" s="10">
        <v>1</v>
      </c>
      <c r="B4" s="10">
        <v>0</v>
      </c>
      <c r="C4" s="10">
        <v>7</v>
      </c>
      <c r="D4" s="10">
        <v>10</v>
      </c>
      <c r="E4" s="64">
        <f t="shared" ref="E4:E19" si="0">B4+C4/D4</f>
        <v>0.7</v>
      </c>
      <c r="G4" s="10">
        <v>1</v>
      </c>
      <c r="H4" s="10">
        <v>0.4</v>
      </c>
      <c r="I4" s="38">
        <v>10</v>
      </c>
      <c r="J4" s="10">
        <f t="shared" ref="J4:J23" si="1">H4*I4</f>
        <v>4</v>
      </c>
      <c r="L4" s="10">
        <v>1</v>
      </c>
      <c r="M4" s="10">
        <v>0.5</v>
      </c>
      <c r="N4" s="38">
        <v>10</v>
      </c>
      <c r="O4" s="10">
        <f t="shared" ref="O4:O23" si="2">M4/N4</f>
        <v>0.05</v>
      </c>
      <c r="Q4" s="10">
        <v>1</v>
      </c>
      <c r="R4" s="10">
        <v>0.3</v>
      </c>
      <c r="S4" s="10">
        <v>0.8</v>
      </c>
      <c r="T4" s="10">
        <v>3.15</v>
      </c>
      <c r="X4" s="10">
        <f>SUM(R4:W4)</f>
        <v>4.25</v>
      </c>
      <c r="Z4" s="10">
        <v>1</v>
      </c>
      <c r="AA4" s="10">
        <v>0.8</v>
      </c>
      <c r="AB4" s="10">
        <v>0.17</v>
      </c>
      <c r="AE4" s="10">
        <f t="shared" ref="AE4:AE13" si="3">AA4-AB4-AC4-AD4</f>
        <v>0.63</v>
      </c>
      <c r="AG4" s="10">
        <v>1</v>
      </c>
      <c r="AH4" s="10">
        <v>0.3</v>
      </c>
      <c r="AI4" s="10">
        <v>0.5</v>
      </c>
      <c r="AJ4" s="10">
        <v>0.17</v>
      </c>
      <c r="AN4" s="10">
        <f t="shared" ref="AN4:AN9" si="4">AH4+AI4-AJ4+AK4+AL4+AM4</f>
        <v>0.63</v>
      </c>
      <c r="AP4" s="10">
        <v>1</v>
      </c>
      <c r="AQ4" s="10">
        <v>0.5</v>
      </c>
      <c r="AR4" s="10">
        <v>0.3</v>
      </c>
      <c r="AS4" s="10">
        <f t="shared" ref="AS4:AS21" si="5">AQ4*AR4</f>
        <v>0.15</v>
      </c>
      <c r="AW4" s="10">
        <v>1</v>
      </c>
      <c r="AX4" s="10">
        <v>0.9</v>
      </c>
      <c r="AY4" s="10">
        <v>0.3</v>
      </c>
      <c r="AZ4" s="10">
        <f t="shared" ref="AZ4:AZ23" si="6">AX4/AY4</f>
        <v>3</v>
      </c>
      <c r="BB4" s="10">
        <v>1</v>
      </c>
      <c r="BC4" s="10">
        <v>5</v>
      </c>
      <c r="BD4" s="10">
        <v>0.5</v>
      </c>
      <c r="BE4" s="10">
        <f t="shared" ref="BE4:BE23" si="7">BC4/BD4</f>
        <v>10</v>
      </c>
      <c r="BG4" s="10">
        <v>1</v>
      </c>
      <c r="BH4" s="10">
        <f>(0.03+0.456+8)*6/25.458</f>
        <v>2.0000000000000004</v>
      </c>
    </row>
    <row r="5" spans="1:60">
      <c r="A5" s="10">
        <v>2</v>
      </c>
      <c r="B5" s="10">
        <v>0</v>
      </c>
      <c r="C5" s="10">
        <v>35</v>
      </c>
      <c r="D5" s="10">
        <v>100</v>
      </c>
      <c r="E5" s="65">
        <f t="shared" si="0"/>
        <v>0.35</v>
      </c>
      <c r="G5" s="10">
        <v>2</v>
      </c>
      <c r="H5" s="10">
        <v>7.8</v>
      </c>
      <c r="I5" s="38">
        <v>10</v>
      </c>
      <c r="J5" s="10">
        <f t="shared" si="1"/>
        <v>78</v>
      </c>
      <c r="L5" s="10">
        <v>2</v>
      </c>
      <c r="M5" s="10">
        <v>0.86</v>
      </c>
      <c r="N5" s="38">
        <v>10</v>
      </c>
      <c r="O5" s="10">
        <f t="shared" si="2"/>
        <v>8.5999999999999993E-2</v>
      </c>
      <c r="Q5" s="10">
        <v>2</v>
      </c>
      <c r="R5" s="10">
        <v>0.19</v>
      </c>
      <c r="S5" s="10">
        <v>3.81</v>
      </c>
      <c r="T5" s="10">
        <v>0.72299999999999998</v>
      </c>
      <c r="U5" s="10">
        <v>0.13139999999999999</v>
      </c>
      <c r="X5" s="10">
        <f>SUM(R5:W5)</f>
        <v>4.8544</v>
      </c>
      <c r="Z5" s="10">
        <v>2</v>
      </c>
      <c r="AA5" s="10">
        <v>0.39</v>
      </c>
      <c r="AB5" s="10">
        <v>0.184</v>
      </c>
      <c r="AE5" s="10">
        <f t="shared" si="3"/>
        <v>0.20600000000000002</v>
      </c>
      <c r="AG5" s="10">
        <v>2</v>
      </c>
      <c r="AH5" s="10">
        <v>0.184</v>
      </c>
      <c r="AI5" s="10">
        <v>0.9345</v>
      </c>
      <c r="AJ5" s="10">
        <v>0.54435999999999996</v>
      </c>
      <c r="AN5" s="10">
        <f t="shared" si="4"/>
        <v>0.57414000000000009</v>
      </c>
      <c r="AP5" s="10">
        <v>2</v>
      </c>
      <c r="AQ5" s="10">
        <v>0.17</v>
      </c>
      <c r="AR5" s="10">
        <v>0.83</v>
      </c>
      <c r="AS5" s="10">
        <f t="shared" si="5"/>
        <v>0.1411</v>
      </c>
      <c r="AW5" s="10">
        <v>2</v>
      </c>
      <c r="AX5" s="10">
        <v>0.81</v>
      </c>
      <c r="AY5" s="10">
        <v>0.27</v>
      </c>
      <c r="AZ5" s="10">
        <f t="shared" si="6"/>
        <v>3</v>
      </c>
      <c r="BB5" s="10">
        <v>2</v>
      </c>
      <c r="BC5" s="10">
        <v>13</v>
      </c>
      <c r="BD5" s="10">
        <v>0.13</v>
      </c>
      <c r="BE5" s="10">
        <f t="shared" si="7"/>
        <v>100</v>
      </c>
      <c r="BG5" s="10">
        <v>2</v>
      </c>
      <c r="BH5" s="66">
        <f>((8.006+0.452+0.15)/0.1)/((8-0.1+0.32)*4)</f>
        <v>2.6180048661800486</v>
      </c>
    </row>
    <row r="6" spans="1:60">
      <c r="A6" s="10">
        <v>3</v>
      </c>
      <c r="B6" s="10">
        <v>0</v>
      </c>
      <c r="C6" s="10">
        <v>8</v>
      </c>
      <c r="D6" s="10">
        <v>1000</v>
      </c>
      <c r="E6" s="66">
        <f t="shared" si="0"/>
        <v>8.0000000000000002E-3</v>
      </c>
      <c r="G6" s="10">
        <v>3</v>
      </c>
      <c r="H6" s="10">
        <v>0.32400000000000001</v>
      </c>
      <c r="I6" s="38">
        <v>10</v>
      </c>
      <c r="J6" s="10">
        <f t="shared" si="1"/>
        <v>3.24</v>
      </c>
      <c r="L6" s="10">
        <v>3</v>
      </c>
      <c r="M6" s="10">
        <v>0.125</v>
      </c>
      <c r="N6" s="38">
        <v>10</v>
      </c>
      <c r="O6" s="10">
        <f t="shared" si="2"/>
        <v>1.2500000000000001E-2</v>
      </c>
      <c r="Q6" s="10">
        <v>3</v>
      </c>
      <c r="R6" s="10">
        <v>5.0000000000000001E-3</v>
      </c>
      <c r="S6" s="10">
        <v>0.1326</v>
      </c>
      <c r="T6" s="10">
        <v>8.5432000000000006</v>
      </c>
      <c r="U6" s="10">
        <v>14.00001</v>
      </c>
      <c r="Z6" s="10">
        <v>3</v>
      </c>
      <c r="AA6" s="10">
        <v>0.73499999999999999</v>
      </c>
      <c r="AB6" s="10">
        <v>0.59989999999999999</v>
      </c>
      <c r="AE6" s="10">
        <f t="shared" si="3"/>
        <v>0.1351</v>
      </c>
      <c r="AG6" s="10">
        <v>3</v>
      </c>
      <c r="AH6" s="10">
        <v>3.18</v>
      </c>
      <c r="AI6" s="10">
        <v>14</v>
      </c>
      <c r="AJ6" s="10">
        <v>15.723000000000001</v>
      </c>
      <c r="AN6" s="10">
        <f t="shared" si="4"/>
        <v>1.456999999999999</v>
      </c>
      <c r="AP6" s="10">
        <v>3</v>
      </c>
      <c r="AQ6" s="10">
        <v>1E-3</v>
      </c>
      <c r="AR6" s="10">
        <v>1E-4</v>
      </c>
      <c r="AS6" s="10">
        <f t="shared" si="5"/>
        <v>1.0000000000000001E-7</v>
      </c>
      <c r="AW6" s="10">
        <v>3</v>
      </c>
      <c r="AX6" s="10">
        <v>0.64</v>
      </c>
      <c r="AY6" s="10">
        <v>0.04</v>
      </c>
      <c r="AZ6" s="10">
        <f t="shared" si="6"/>
        <v>16</v>
      </c>
      <c r="BB6" s="10">
        <v>3</v>
      </c>
      <c r="BC6" s="10">
        <v>16</v>
      </c>
      <c r="BD6" s="10">
        <v>0.64</v>
      </c>
      <c r="BE6" s="10">
        <f t="shared" si="7"/>
        <v>25</v>
      </c>
      <c r="BG6" s="10">
        <v>3</v>
      </c>
      <c r="BH6" s="10">
        <f>(0.5*3+0.6/0.03+0.5)/(0.08/8+0.1/0.1-0.01)</f>
        <v>22</v>
      </c>
    </row>
    <row r="7" spans="1:60">
      <c r="A7" s="10">
        <v>4</v>
      </c>
      <c r="B7" s="10">
        <v>0</v>
      </c>
      <c r="C7" s="10">
        <v>17</v>
      </c>
      <c r="D7" s="10">
        <v>10000</v>
      </c>
      <c r="E7" s="67">
        <f t="shared" si="0"/>
        <v>1.6999999999999999E-3</v>
      </c>
      <c r="G7" s="10">
        <v>4</v>
      </c>
      <c r="H7" s="10">
        <v>0.76539999999999997</v>
      </c>
      <c r="I7" s="38">
        <v>10</v>
      </c>
      <c r="J7" s="10">
        <f t="shared" si="1"/>
        <v>7.6539999999999999</v>
      </c>
      <c r="L7" s="10">
        <v>4</v>
      </c>
      <c r="M7" s="10">
        <v>3.43</v>
      </c>
      <c r="N7" s="38">
        <v>10</v>
      </c>
      <c r="O7" s="10">
        <f t="shared" si="2"/>
        <v>0.34300000000000003</v>
      </c>
      <c r="Q7" s="10">
        <v>4</v>
      </c>
      <c r="R7" s="10">
        <v>0.99</v>
      </c>
      <c r="S7" s="10">
        <v>95.998999999999995</v>
      </c>
      <c r="T7" s="10">
        <v>18.9999</v>
      </c>
      <c r="U7" s="10">
        <v>0.99999899999999997</v>
      </c>
      <c r="X7" s="10">
        <f t="shared" ref="X7:X23" si="8">SUM(R7:W7)</f>
        <v>116.98889899999999</v>
      </c>
      <c r="Z7" s="10">
        <v>4</v>
      </c>
      <c r="AA7" s="10">
        <v>8</v>
      </c>
      <c r="AB7" s="10">
        <v>0.3</v>
      </c>
      <c r="AE7" s="10">
        <f t="shared" si="3"/>
        <v>7.7</v>
      </c>
      <c r="AG7" s="10">
        <v>4</v>
      </c>
      <c r="AH7" s="10">
        <v>9.3740000000000006</v>
      </c>
      <c r="AI7" s="10">
        <v>380</v>
      </c>
      <c r="AJ7" s="10">
        <v>193.50783000000001</v>
      </c>
      <c r="AN7" s="10">
        <f t="shared" si="4"/>
        <v>195.86617000000001</v>
      </c>
      <c r="AP7" s="10">
        <v>4</v>
      </c>
      <c r="AQ7" s="10">
        <v>8.34</v>
      </c>
      <c r="AR7" s="10">
        <v>14.35</v>
      </c>
      <c r="AS7" s="10">
        <f t="shared" si="5"/>
        <v>119.679</v>
      </c>
      <c r="AW7" s="10">
        <v>4</v>
      </c>
      <c r="AX7" s="10">
        <v>0.125</v>
      </c>
      <c r="AY7" s="10">
        <v>5.0000000000000001E-3</v>
      </c>
      <c r="AZ7" s="10">
        <f t="shared" si="6"/>
        <v>25</v>
      </c>
      <c r="BB7" s="10">
        <v>4</v>
      </c>
      <c r="BC7" s="10">
        <v>8</v>
      </c>
      <c r="BD7" s="10">
        <v>0.51200000000000001</v>
      </c>
      <c r="BE7" s="10">
        <f t="shared" si="7"/>
        <v>15.625</v>
      </c>
      <c r="BG7" s="10">
        <v>4</v>
      </c>
      <c r="BH7" s="10">
        <f>((8.3-0.05)-(4.25-3.15))/(0.04/0.4+0.006/0.6+7.04)</f>
        <v>1</v>
      </c>
    </row>
    <row r="8" spans="1:60">
      <c r="A8" s="10">
        <v>5</v>
      </c>
      <c r="B8" s="10">
        <v>0</v>
      </c>
      <c r="C8" s="10">
        <v>315</v>
      </c>
      <c r="D8" s="10">
        <v>100000</v>
      </c>
      <c r="E8" s="68">
        <f t="shared" si="0"/>
        <v>3.15E-3</v>
      </c>
      <c r="G8" s="10">
        <v>5</v>
      </c>
      <c r="H8" s="10">
        <v>7.5</v>
      </c>
      <c r="I8" s="38">
        <v>100</v>
      </c>
      <c r="J8" s="10">
        <f t="shared" si="1"/>
        <v>750</v>
      </c>
      <c r="L8" s="10">
        <v>5</v>
      </c>
      <c r="M8" s="10">
        <v>0.4</v>
      </c>
      <c r="N8" s="38">
        <v>100</v>
      </c>
      <c r="O8" s="10">
        <f t="shared" si="2"/>
        <v>4.0000000000000001E-3</v>
      </c>
      <c r="Q8" s="10">
        <v>5</v>
      </c>
      <c r="R8" s="10">
        <v>16.05</v>
      </c>
      <c r="S8" s="10">
        <v>5.0000000000000001E-3</v>
      </c>
      <c r="T8" s="10">
        <v>81.004999999999995</v>
      </c>
      <c r="U8" s="10">
        <v>5.0000000000000002E-5</v>
      </c>
      <c r="V8" s="10">
        <v>5.0000000000000004E-6</v>
      </c>
      <c r="X8" s="10">
        <f t="shared" si="8"/>
        <v>97.060055000000006</v>
      </c>
      <c r="Z8" s="10">
        <v>5</v>
      </c>
      <c r="AA8" s="10">
        <v>19</v>
      </c>
      <c r="AB8" s="10">
        <v>0.114</v>
      </c>
      <c r="AE8" s="10">
        <f t="shared" si="3"/>
        <v>18.885999999999999</v>
      </c>
      <c r="AG8" s="10">
        <v>5</v>
      </c>
      <c r="AH8" s="10">
        <v>0.76</v>
      </c>
      <c r="AI8" s="10">
        <v>31.893000000000001</v>
      </c>
      <c r="AJ8" s="10">
        <v>14</v>
      </c>
      <c r="AN8" s="10">
        <f t="shared" si="4"/>
        <v>18.652999999999999</v>
      </c>
      <c r="AP8" s="10">
        <v>5</v>
      </c>
      <c r="AQ8" s="10">
        <v>16.84</v>
      </c>
      <c r="AR8" s="10">
        <v>3.0000000000000001E-3</v>
      </c>
      <c r="AS8" s="10">
        <f t="shared" si="5"/>
        <v>5.0520000000000002E-2</v>
      </c>
      <c r="AW8" s="10">
        <v>5</v>
      </c>
      <c r="AX8" s="10">
        <v>0.72899999999999998</v>
      </c>
      <c r="AY8" s="10">
        <v>8.9999999999999993E-3</v>
      </c>
      <c r="AZ8" s="10">
        <f t="shared" si="6"/>
        <v>81</v>
      </c>
      <c r="BB8" s="10">
        <v>5</v>
      </c>
      <c r="BC8" s="10">
        <v>12</v>
      </c>
      <c r="BD8" s="10">
        <v>3.0000000000000001E-3</v>
      </c>
      <c r="BE8" s="38">
        <f t="shared" si="7"/>
        <v>4000</v>
      </c>
      <c r="BG8" s="10">
        <v>5</v>
      </c>
      <c r="BH8" s="10">
        <f>(4/0.01+3/0.001+0.1/0.01)/(4*0.01+3*0.001+1704.957)</f>
        <v>2</v>
      </c>
    </row>
    <row r="9" spans="1:60">
      <c r="A9" s="10">
        <v>6</v>
      </c>
      <c r="B9" s="10">
        <v>0</v>
      </c>
      <c r="C9" s="10">
        <v>623</v>
      </c>
      <c r="D9" s="10">
        <v>1000000</v>
      </c>
      <c r="E9" s="69">
        <f t="shared" si="0"/>
        <v>6.2299999999999996E-4</v>
      </c>
      <c r="G9" s="10">
        <v>6</v>
      </c>
      <c r="H9" s="10">
        <v>0.10299999999999999</v>
      </c>
      <c r="I9" s="38">
        <v>100</v>
      </c>
      <c r="J9" s="10">
        <f t="shared" si="1"/>
        <v>10.299999999999999</v>
      </c>
      <c r="L9" s="10">
        <v>6</v>
      </c>
      <c r="M9" s="10">
        <v>3.18</v>
      </c>
      <c r="N9" s="38">
        <v>100</v>
      </c>
      <c r="O9" s="10">
        <f t="shared" si="2"/>
        <v>3.1800000000000002E-2</v>
      </c>
      <c r="Q9" s="10">
        <v>6</v>
      </c>
      <c r="R9" s="10">
        <v>5</v>
      </c>
      <c r="S9" s="10">
        <v>0.3</v>
      </c>
      <c r="X9" s="10">
        <f t="shared" si="8"/>
        <v>5.3</v>
      </c>
      <c r="Z9" s="10">
        <v>6</v>
      </c>
      <c r="AA9" s="10">
        <v>315</v>
      </c>
      <c r="AB9" s="10">
        <v>0.78600000000000003</v>
      </c>
      <c r="AE9" s="10">
        <f t="shared" si="3"/>
        <v>314.214</v>
      </c>
      <c r="AG9" s="10">
        <v>6</v>
      </c>
      <c r="AH9" s="10">
        <v>15.786</v>
      </c>
      <c r="AI9" s="10">
        <v>32</v>
      </c>
      <c r="AJ9" s="10">
        <v>14</v>
      </c>
      <c r="AN9" s="10">
        <f t="shared" si="4"/>
        <v>33.786000000000001</v>
      </c>
      <c r="AP9" s="10">
        <v>6</v>
      </c>
      <c r="AQ9" s="10">
        <v>7.0030000000000001</v>
      </c>
      <c r="AR9" s="10">
        <v>5.0039999999999996</v>
      </c>
      <c r="AS9" s="10">
        <f t="shared" si="5"/>
        <v>35.043011999999997</v>
      </c>
      <c r="AW9" s="10">
        <v>6</v>
      </c>
      <c r="AX9" s="10">
        <v>0.24299999999999999</v>
      </c>
      <c r="AY9" s="10">
        <v>8.1000000000000003E-2</v>
      </c>
      <c r="AZ9" s="10">
        <f t="shared" si="6"/>
        <v>3</v>
      </c>
      <c r="BB9" s="10">
        <v>6</v>
      </c>
      <c r="BC9" s="10">
        <v>93</v>
      </c>
      <c r="BD9" s="10">
        <v>1.8599999999999998E-2</v>
      </c>
      <c r="BE9" s="38">
        <f t="shared" si="7"/>
        <v>5000</v>
      </c>
      <c r="BG9" s="10">
        <v>6</v>
      </c>
      <c r="BH9" s="10">
        <f>(1/0.1+1/0.01+1/0.001)*0.3</f>
        <v>333</v>
      </c>
    </row>
    <row r="10" spans="1:60">
      <c r="A10" s="10">
        <v>7</v>
      </c>
      <c r="B10" s="10">
        <v>6</v>
      </c>
      <c r="C10" s="10">
        <v>3</v>
      </c>
      <c r="D10" s="10">
        <v>10</v>
      </c>
      <c r="E10" s="64">
        <f t="shared" si="0"/>
        <v>6.3</v>
      </c>
      <c r="G10" s="10">
        <v>7</v>
      </c>
      <c r="H10" s="10">
        <v>0.1234</v>
      </c>
      <c r="I10" s="38">
        <v>100</v>
      </c>
      <c r="J10" s="10">
        <f t="shared" si="1"/>
        <v>12.34</v>
      </c>
      <c r="L10" s="10">
        <v>7</v>
      </c>
      <c r="M10" s="10">
        <v>16.134</v>
      </c>
      <c r="N10" s="38">
        <v>100</v>
      </c>
      <c r="O10" s="10">
        <f t="shared" si="2"/>
        <v>0.16134000000000001</v>
      </c>
      <c r="Q10" s="10">
        <v>7</v>
      </c>
      <c r="R10" s="10">
        <v>8</v>
      </c>
      <c r="S10" s="10">
        <v>0.14000000000000001</v>
      </c>
      <c r="X10" s="10">
        <f t="shared" si="8"/>
        <v>8.14</v>
      </c>
      <c r="Z10" s="10">
        <v>7</v>
      </c>
      <c r="AA10" s="10">
        <v>814</v>
      </c>
      <c r="AB10" s="10">
        <v>3.2499999999999999E-3</v>
      </c>
      <c r="AE10" s="10">
        <f t="shared" si="3"/>
        <v>813.99675000000002</v>
      </c>
      <c r="AG10" s="10">
        <v>7</v>
      </c>
      <c r="AH10" s="10">
        <v>5.13</v>
      </c>
      <c r="AI10" s="10">
        <v>8.9320000000000004</v>
      </c>
      <c r="AJ10" s="10">
        <v>31.786000000000001</v>
      </c>
      <c r="AK10" s="10">
        <v>40.156700000000001</v>
      </c>
      <c r="AL10" s="10">
        <v>63</v>
      </c>
      <c r="AN10" s="10">
        <f>AH10+AI10+AJ10+AK10-AL10+AM10</f>
        <v>23.0047</v>
      </c>
      <c r="AP10" s="10">
        <v>7</v>
      </c>
      <c r="AQ10" s="10">
        <v>134.786</v>
      </c>
      <c r="AR10" s="10">
        <v>0.19869999999999999</v>
      </c>
      <c r="AS10" s="10">
        <f t="shared" si="5"/>
        <v>26.781978199999998</v>
      </c>
      <c r="AW10" s="10">
        <v>7</v>
      </c>
      <c r="AX10" s="10">
        <v>0.32</v>
      </c>
      <c r="AY10" s="10">
        <v>0.2</v>
      </c>
      <c r="AZ10" s="10">
        <f t="shared" si="6"/>
        <v>1.5999999999999999</v>
      </c>
      <c r="BB10" s="10">
        <v>7</v>
      </c>
      <c r="BC10" s="10">
        <v>500</v>
      </c>
      <c r="BD10" s="10">
        <v>1.25E-3</v>
      </c>
      <c r="BE10" s="38">
        <f t="shared" si="7"/>
        <v>400000</v>
      </c>
      <c r="BG10" s="10">
        <v>7</v>
      </c>
      <c r="BH10" s="10">
        <f>(8/0.16-0.15/0.5)+0.01</f>
        <v>49.71</v>
      </c>
    </row>
    <row r="11" spans="1:60">
      <c r="A11" s="10">
        <v>8</v>
      </c>
      <c r="B11" s="10">
        <v>9</v>
      </c>
      <c r="C11" s="10">
        <v>18</v>
      </c>
      <c r="D11" s="10">
        <v>100</v>
      </c>
      <c r="E11" s="65">
        <f t="shared" si="0"/>
        <v>9.18</v>
      </c>
      <c r="G11" s="10">
        <v>8</v>
      </c>
      <c r="H11" s="10">
        <v>17.567</v>
      </c>
      <c r="I11" s="38">
        <v>100</v>
      </c>
      <c r="J11" s="62">
        <f t="shared" si="1"/>
        <v>1756.7</v>
      </c>
      <c r="L11" s="10">
        <v>8</v>
      </c>
      <c r="M11" s="10">
        <v>0.72560000000000002</v>
      </c>
      <c r="N11" s="38">
        <v>100</v>
      </c>
      <c r="O11" s="10">
        <f t="shared" si="2"/>
        <v>7.2560000000000003E-3</v>
      </c>
      <c r="Q11" s="10">
        <v>8</v>
      </c>
      <c r="R11" s="10">
        <v>15</v>
      </c>
      <c r="S11" s="10">
        <v>0.54</v>
      </c>
      <c r="X11" s="10">
        <f t="shared" si="8"/>
        <v>15.54</v>
      </c>
      <c r="Z11" s="10">
        <v>8</v>
      </c>
      <c r="AA11" s="10">
        <v>15</v>
      </c>
      <c r="AB11" s="10">
        <v>0.76400000000000001</v>
      </c>
      <c r="AC11" s="10">
        <v>4.16</v>
      </c>
      <c r="AE11" s="10">
        <f t="shared" si="3"/>
        <v>10.076000000000001</v>
      </c>
      <c r="AG11" s="10">
        <v>8</v>
      </c>
      <c r="AH11" s="10">
        <v>31</v>
      </c>
      <c r="AI11" s="10">
        <v>14.76</v>
      </c>
      <c r="AJ11" s="10">
        <v>17</v>
      </c>
      <c r="AK11" s="10">
        <v>8.35</v>
      </c>
      <c r="AL11" s="10">
        <v>3.0000000000000001E-3</v>
      </c>
      <c r="AN11" s="10">
        <f>AH11+AI11+AJ11-AK11-AL11+AM11</f>
        <v>54.406999999999996</v>
      </c>
      <c r="AP11" s="10">
        <v>8</v>
      </c>
      <c r="AQ11" s="10">
        <v>1976.325</v>
      </c>
      <c r="AR11" s="10">
        <v>0.76243799999999995</v>
      </c>
      <c r="AS11" s="70">
        <f t="shared" si="5"/>
        <v>1506.82528035</v>
      </c>
      <c r="AW11" s="10">
        <v>8</v>
      </c>
      <c r="AX11" s="10">
        <v>0.12839999999999999</v>
      </c>
      <c r="AY11" s="10">
        <v>0.4</v>
      </c>
      <c r="AZ11" s="66">
        <f t="shared" si="6"/>
        <v>0.32099999999999995</v>
      </c>
      <c r="BB11" s="10">
        <v>8</v>
      </c>
      <c r="BC11" s="10">
        <v>17</v>
      </c>
      <c r="BD11" s="10">
        <v>0.14299999999999999</v>
      </c>
      <c r="BE11" s="71">
        <f t="shared" si="7"/>
        <v>118.88111888111889</v>
      </c>
      <c r="BG11" s="10">
        <v>8</v>
      </c>
      <c r="BH11" s="10">
        <f>(0.06/0.3+0.052/2)/(6/(0.36/3))</f>
        <v>4.5199999999999997E-3</v>
      </c>
    </row>
    <row r="12" spans="1:60">
      <c r="A12" s="10">
        <v>9</v>
      </c>
      <c r="B12" s="10">
        <v>4</v>
      </c>
      <c r="C12" s="10">
        <v>3</v>
      </c>
      <c r="D12" s="10">
        <v>1000</v>
      </c>
      <c r="E12" s="66">
        <f t="shared" si="0"/>
        <v>4.0030000000000001</v>
      </c>
      <c r="G12" s="10">
        <v>9</v>
      </c>
      <c r="H12" s="10">
        <v>3.4</v>
      </c>
      <c r="I12" s="38">
        <v>1000</v>
      </c>
      <c r="J12" s="38">
        <f t="shared" si="1"/>
        <v>3400</v>
      </c>
      <c r="L12" s="10">
        <v>9</v>
      </c>
      <c r="M12" s="10">
        <v>2.5</v>
      </c>
      <c r="N12" s="38">
        <v>1000</v>
      </c>
      <c r="O12" s="10">
        <f t="shared" si="2"/>
        <v>2.5000000000000001E-3</v>
      </c>
      <c r="Q12" s="10">
        <v>9</v>
      </c>
      <c r="R12" s="10">
        <v>16</v>
      </c>
      <c r="S12" s="10">
        <v>0.19359999999999999</v>
      </c>
      <c r="X12" s="10">
        <f t="shared" si="8"/>
        <v>16.1936</v>
      </c>
      <c r="Z12" s="10">
        <v>9</v>
      </c>
      <c r="AA12" s="10">
        <v>837</v>
      </c>
      <c r="AB12" s="10">
        <v>14.135999999999999</v>
      </c>
      <c r="AC12" s="10">
        <v>8.1319999999999997</v>
      </c>
      <c r="AD12" s="10">
        <v>0.75643199999999999</v>
      </c>
      <c r="AE12" s="10">
        <f t="shared" si="3"/>
        <v>813.97556800000007</v>
      </c>
      <c r="AG12" s="10">
        <v>9</v>
      </c>
      <c r="AH12" s="10">
        <v>8</v>
      </c>
      <c r="AI12" s="10">
        <v>0.3</v>
      </c>
      <c r="AJ12" s="10">
        <v>5</v>
      </c>
      <c r="AK12" s="10">
        <v>0.16</v>
      </c>
      <c r="AL12" s="10">
        <v>3</v>
      </c>
      <c r="AM12" s="10">
        <v>14.324</v>
      </c>
      <c r="AN12" s="10">
        <f>AH12-AI12+AJ12-AK12-AL12+AM12</f>
        <v>23.863999999999997</v>
      </c>
      <c r="AP12" s="10">
        <v>9</v>
      </c>
      <c r="AQ12" s="10">
        <v>5</v>
      </c>
      <c r="AR12" s="10">
        <v>0.7</v>
      </c>
      <c r="AS12" s="10">
        <f t="shared" si="5"/>
        <v>3.5</v>
      </c>
      <c r="AW12" s="10">
        <v>9</v>
      </c>
      <c r="AX12" s="10">
        <v>0.77769999999999995</v>
      </c>
      <c r="AY12" s="10">
        <v>0.11</v>
      </c>
      <c r="AZ12" s="10">
        <f t="shared" si="6"/>
        <v>7.0699999999999994</v>
      </c>
      <c r="BB12" s="10">
        <v>9</v>
      </c>
      <c r="BC12" s="10">
        <v>154</v>
      </c>
      <c r="BD12" s="10">
        <v>0.14149999999999999</v>
      </c>
      <c r="BE12" s="71">
        <f t="shared" si="7"/>
        <v>1088.339222614841</v>
      </c>
      <c r="BG12" s="10">
        <v>9</v>
      </c>
      <c r="BH12" s="72">
        <f>0.0056+(0.03/3)/(0.564/3)+0.56/(32/0.16)</f>
        <v>6.159148936170214E-2</v>
      </c>
    </row>
    <row r="13" spans="1:60">
      <c r="A13" s="10">
        <v>10</v>
      </c>
      <c r="B13" s="10">
        <v>6</v>
      </c>
      <c r="C13" s="10">
        <v>19</v>
      </c>
      <c r="D13" s="10">
        <v>1000</v>
      </c>
      <c r="E13" s="66">
        <f t="shared" si="0"/>
        <v>6.0190000000000001</v>
      </c>
      <c r="G13" s="10">
        <v>10</v>
      </c>
      <c r="H13" s="10">
        <v>0.188</v>
      </c>
      <c r="I13" s="38">
        <v>1000</v>
      </c>
      <c r="J13" s="38">
        <f t="shared" si="1"/>
        <v>188</v>
      </c>
      <c r="L13" s="10">
        <v>10</v>
      </c>
      <c r="M13" s="10">
        <v>0.18</v>
      </c>
      <c r="N13" s="38">
        <v>1000</v>
      </c>
      <c r="O13" s="10">
        <f t="shared" si="2"/>
        <v>1.7999999999999998E-4</v>
      </c>
      <c r="Q13" s="10">
        <v>10</v>
      </c>
      <c r="R13" s="10">
        <v>75</v>
      </c>
      <c r="S13" s="10">
        <v>7.0000000000000007E-2</v>
      </c>
      <c r="X13" s="10">
        <f t="shared" si="8"/>
        <v>75.069999999999993</v>
      </c>
      <c r="Z13" s="10">
        <v>10</v>
      </c>
      <c r="AA13" s="10">
        <v>539.72</v>
      </c>
      <c r="AB13" s="10">
        <v>11.183999999999999</v>
      </c>
      <c r="AC13" s="10">
        <v>119.327</v>
      </c>
      <c r="AE13" s="10">
        <f t="shared" si="3"/>
        <v>409.20900000000006</v>
      </c>
      <c r="AG13" s="10">
        <v>10</v>
      </c>
      <c r="AH13" s="10">
        <v>15</v>
      </c>
      <c r="AI13" s="10">
        <v>18.36</v>
      </c>
      <c r="AJ13" s="10">
        <v>71</v>
      </c>
      <c r="AK13" s="10">
        <v>80.198700000000002</v>
      </c>
      <c r="AL13" s="10">
        <v>1.3200000000000001E-4</v>
      </c>
      <c r="AN13" s="10">
        <f>AH13+AI13-AJ13+AK13-AL13+AM13</f>
        <v>42.558568000000001</v>
      </c>
      <c r="AP13" s="10">
        <v>10</v>
      </c>
      <c r="AQ13" s="10">
        <v>14</v>
      </c>
      <c r="AR13" s="10">
        <v>0.08</v>
      </c>
      <c r="AS13" s="10">
        <f t="shared" si="5"/>
        <v>1.1200000000000001</v>
      </c>
      <c r="AW13" s="10">
        <v>10</v>
      </c>
      <c r="AX13" s="10">
        <v>0.73560000000000003</v>
      </c>
      <c r="AY13" s="10">
        <v>0.1</v>
      </c>
      <c r="AZ13" s="10">
        <f t="shared" si="6"/>
        <v>7.3559999999999999</v>
      </c>
      <c r="BB13" s="10">
        <v>10</v>
      </c>
      <c r="BC13" s="38">
        <v>1318</v>
      </c>
      <c r="BD13" s="10">
        <v>0.24567</v>
      </c>
      <c r="BE13" s="71">
        <f t="shared" si="7"/>
        <v>5364.9204217039114</v>
      </c>
      <c r="BG13" s="10">
        <v>10</v>
      </c>
      <c r="BH13" s="10">
        <f>5/(0.32/2)+(0.3/0.5)/0.001</f>
        <v>631.25</v>
      </c>
    </row>
    <row r="14" spans="1:60">
      <c r="A14" s="10">
        <v>11</v>
      </c>
      <c r="B14" s="10">
        <v>19</v>
      </c>
      <c r="C14" s="10">
        <v>18</v>
      </c>
      <c r="D14" s="10">
        <v>1000</v>
      </c>
      <c r="E14" s="66">
        <f t="shared" si="0"/>
        <v>19.018000000000001</v>
      </c>
      <c r="G14" s="10">
        <v>11</v>
      </c>
      <c r="H14" s="10">
        <v>0.45500000000000002</v>
      </c>
      <c r="I14" s="38">
        <v>1000</v>
      </c>
      <c r="J14" s="38">
        <f t="shared" si="1"/>
        <v>455</v>
      </c>
      <c r="L14" s="10">
        <v>11</v>
      </c>
      <c r="M14" s="10">
        <v>7.1230000000000002</v>
      </c>
      <c r="N14" s="38">
        <v>1000</v>
      </c>
      <c r="O14" s="10">
        <f t="shared" si="2"/>
        <v>7.123E-3</v>
      </c>
      <c r="Q14" s="10">
        <v>11</v>
      </c>
      <c r="R14" s="10">
        <v>81</v>
      </c>
      <c r="S14" s="10">
        <v>3.0000000000000001E-3</v>
      </c>
      <c r="X14" s="10">
        <f t="shared" si="8"/>
        <v>81.003</v>
      </c>
      <c r="AG14" s="10">
        <v>11</v>
      </c>
      <c r="AH14" s="10">
        <v>14.782</v>
      </c>
      <c r="AI14" s="10">
        <v>13</v>
      </c>
      <c r="AJ14" s="10">
        <v>325.73005999999998</v>
      </c>
      <c r="AK14" s="10">
        <v>81.574325000000002</v>
      </c>
      <c r="AL14" s="10">
        <v>53</v>
      </c>
      <c r="AN14" s="10">
        <f>AH14-AI14+AJ14-AK14+AL14+AM14</f>
        <v>298.93773499999998</v>
      </c>
      <c r="AP14" s="10">
        <v>11</v>
      </c>
      <c r="AQ14" s="10">
        <v>35</v>
      </c>
      <c r="AR14" s="10">
        <v>8.9999999999999998E-4</v>
      </c>
      <c r="AS14" s="10">
        <f t="shared" si="5"/>
        <v>3.15E-2</v>
      </c>
      <c r="AW14" s="10">
        <v>11</v>
      </c>
      <c r="AX14" s="10">
        <v>0.89356000000000002</v>
      </c>
      <c r="AY14" s="10">
        <v>0.314</v>
      </c>
      <c r="AZ14" s="66">
        <f t="shared" si="6"/>
        <v>2.8457324840764331</v>
      </c>
      <c r="BB14" s="10">
        <v>11</v>
      </c>
      <c r="BC14" s="10">
        <v>0.6</v>
      </c>
      <c r="BD14" s="10">
        <v>6</v>
      </c>
      <c r="BE14" s="10">
        <f t="shared" si="7"/>
        <v>9.9999999999999992E-2</v>
      </c>
      <c r="BG14" s="10">
        <v>11</v>
      </c>
      <c r="BH14" s="10">
        <f>(0.4/4)/(4/0.4)+(0.05/5)/(5/0.05)+(0.006/6)/(6/0.006)</f>
        <v>1.0100999999999999E-2</v>
      </c>
    </row>
    <row r="15" spans="1:60">
      <c r="A15" s="10">
        <v>12</v>
      </c>
      <c r="B15" s="10">
        <v>123</v>
      </c>
      <c r="C15" s="10">
        <v>123</v>
      </c>
      <c r="D15" s="10">
        <v>10000</v>
      </c>
      <c r="E15" s="67">
        <f t="shared" si="0"/>
        <v>123.0123</v>
      </c>
      <c r="G15" s="10">
        <v>12</v>
      </c>
      <c r="H15" s="10">
        <v>0.188</v>
      </c>
      <c r="I15" s="38">
        <v>1000</v>
      </c>
      <c r="J15" s="38">
        <f t="shared" si="1"/>
        <v>188</v>
      </c>
      <c r="L15" s="10">
        <v>12</v>
      </c>
      <c r="M15" s="10">
        <v>14.135999999999999</v>
      </c>
      <c r="N15" s="38">
        <v>1000</v>
      </c>
      <c r="O15" s="10">
        <f t="shared" si="2"/>
        <v>1.4135999999999999E-2</v>
      </c>
      <c r="Q15" s="10">
        <v>12</v>
      </c>
      <c r="R15" s="10">
        <v>115</v>
      </c>
      <c r="S15" s="10">
        <v>5.5999999999999999E-3</v>
      </c>
      <c r="X15" s="10">
        <f t="shared" si="8"/>
        <v>115.0056</v>
      </c>
      <c r="AG15" s="10">
        <v>12</v>
      </c>
      <c r="AH15" s="10">
        <v>800</v>
      </c>
      <c r="AI15" s="10">
        <v>31.6</v>
      </c>
      <c r="AJ15" s="10">
        <v>82.004000000000005</v>
      </c>
      <c r="AK15" s="10">
        <v>19</v>
      </c>
      <c r="AL15" s="10">
        <v>0.76235600000000003</v>
      </c>
      <c r="AM15" s="10">
        <v>1E-8</v>
      </c>
      <c r="AN15" s="73">
        <f>AH15-AI15-AJ15+AK15-AL15-AM15</f>
        <v>704.63364399</v>
      </c>
      <c r="AP15" s="10">
        <v>12</v>
      </c>
      <c r="AQ15" s="10">
        <v>143</v>
      </c>
      <c r="AR15" s="10">
        <v>1.0000000000000001E-5</v>
      </c>
      <c r="AS15" s="10">
        <f t="shared" si="5"/>
        <v>1.4300000000000001E-3</v>
      </c>
      <c r="AW15" s="10">
        <v>12</v>
      </c>
      <c r="AX15" s="10">
        <v>0.7248</v>
      </c>
      <c r="AY15" s="10">
        <v>0.184</v>
      </c>
      <c r="AZ15" s="66">
        <f t="shared" si="6"/>
        <v>3.9391304347826086</v>
      </c>
      <c r="BB15" s="10">
        <v>12</v>
      </c>
      <c r="BC15" s="10">
        <v>0.21</v>
      </c>
      <c r="BD15" s="10">
        <v>21</v>
      </c>
      <c r="BE15" s="10">
        <f t="shared" si="7"/>
        <v>0.01</v>
      </c>
      <c r="BG15" s="10">
        <v>12</v>
      </c>
      <c r="BH15" s="72">
        <f>(16/0.01)/0.1+(0.1)/(0.02/16)-(0.001/0.1)/(0.1/0.001)</f>
        <v>16079.999900000001</v>
      </c>
    </row>
    <row r="16" spans="1:60">
      <c r="A16" s="10">
        <v>13</v>
      </c>
      <c r="B16" s="10">
        <v>315</v>
      </c>
      <c r="C16" s="10">
        <v>8</v>
      </c>
      <c r="D16" s="10">
        <v>100000</v>
      </c>
      <c r="E16" s="68">
        <f t="shared" si="0"/>
        <v>315.00008000000003</v>
      </c>
      <c r="G16" s="10">
        <v>13</v>
      </c>
      <c r="H16" s="10">
        <v>0.1</v>
      </c>
      <c r="I16" s="38">
        <v>10000</v>
      </c>
      <c r="J16" s="38">
        <f t="shared" si="1"/>
        <v>1000</v>
      </c>
      <c r="L16" s="10">
        <v>13</v>
      </c>
      <c r="M16" s="10">
        <v>3.6</v>
      </c>
      <c r="N16" s="38">
        <v>10000</v>
      </c>
      <c r="O16" s="10">
        <f t="shared" si="2"/>
        <v>3.6000000000000002E-4</v>
      </c>
      <c r="Q16" s="10">
        <v>13</v>
      </c>
      <c r="R16" s="10">
        <v>800</v>
      </c>
      <c r="S16" s="10">
        <v>3.1800000000000001E-3</v>
      </c>
      <c r="X16" s="10">
        <f t="shared" si="8"/>
        <v>800.00318000000004</v>
      </c>
      <c r="AG16" s="10">
        <v>13</v>
      </c>
      <c r="AH16" s="10">
        <v>56.32</v>
      </c>
      <c r="AI16" s="10">
        <v>51</v>
      </c>
      <c r="AJ16" s="10">
        <v>3.2499999999999999E-3</v>
      </c>
      <c r="AK16" s="10">
        <v>0.76432800000000001</v>
      </c>
      <c r="AL16" s="10">
        <v>32.975999999999999</v>
      </c>
      <c r="AN16" s="73">
        <f>AH16-AI16-AJ16-AK16+AL16+AM16</f>
        <v>37.528421999999999</v>
      </c>
      <c r="AP16" s="10">
        <v>13</v>
      </c>
      <c r="AQ16" s="10">
        <v>134</v>
      </c>
      <c r="AR16" s="10">
        <v>0.873</v>
      </c>
      <c r="AS16" s="10">
        <f t="shared" si="5"/>
        <v>116.982</v>
      </c>
      <c r="AW16" s="10">
        <v>13</v>
      </c>
      <c r="AX16" s="10">
        <v>0.5</v>
      </c>
      <c r="AY16" s="10">
        <v>1E-3</v>
      </c>
      <c r="AZ16" s="10">
        <f t="shared" si="6"/>
        <v>500</v>
      </c>
      <c r="BB16" s="10">
        <v>13</v>
      </c>
      <c r="BC16" s="10">
        <v>0.64</v>
      </c>
      <c r="BD16" s="10">
        <v>16</v>
      </c>
      <c r="BE16" s="10">
        <f t="shared" si="7"/>
        <v>0.04</v>
      </c>
    </row>
    <row r="17" spans="1:57">
      <c r="A17" s="10">
        <v>14</v>
      </c>
      <c r="B17" s="10">
        <v>219</v>
      </c>
      <c r="C17" s="10">
        <v>7</v>
      </c>
      <c r="D17" s="10">
        <v>1000000</v>
      </c>
      <c r="E17" s="69">
        <f t="shared" si="0"/>
        <v>219.00000700000001</v>
      </c>
      <c r="G17" s="10">
        <v>14</v>
      </c>
      <c r="H17" s="10">
        <v>45.78</v>
      </c>
      <c r="I17" s="38">
        <v>10000</v>
      </c>
      <c r="J17" s="38">
        <f t="shared" si="1"/>
        <v>457800</v>
      </c>
      <c r="L17" s="10">
        <v>14</v>
      </c>
      <c r="M17" s="10">
        <v>0.19</v>
      </c>
      <c r="N17" s="38">
        <v>10000</v>
      </c>
      <c r="O17" s="10">
        <f t="shared" si="2"/>
        <v>1.9000000000000001E-5</v>
      </c>
      <c r="Q17" s="10">
        <v>14</v>
      </c>
      <c r="R17" s="10">
        <v>19</v>
      </c>
      <c r="S17" s="10">
        <v>0.84</v>
      </c>
      <c r="T17" s="10">
        <v>7</v>
      </c>
      <c r="X17" s="10">
        <f t="shared" si="8"/>
        <v>26.84</v>
      </c>
      <c r="AG17" s="10">
        <v>14</v>
      </c>
      <c r="AH17" s="10">
        <v>5000</v>
      </c>
      <c r="AI17" s="10">
        <v>315.89600000000002</v>
      </c>
      <c r="AJ17" s="10">
        <v>31.784500000000001</v>
      </c>
      <c r="AK17" s="10">
        <v>32.976356000000003</v>
      </c>
      <c r="AL17" s="10">
        <v>50.00000008</v>
      </c>
      <c r="AN17" s="70">
        <f>AH17-AI17-AJ17-AK17+AL17+AM17</f>
        <v>4669.3431440800005</v>
      </c>
      <c r="AP17" s="10">
        <v>14</v>
      </c>
      <c r="AQ17" s="10">
        <v>1897</v>
      </c>
      <c r="AR17" s="10">
        <v>0.13200000000000001</v>
      </c>
      <c r="AS17" s="10">
        <f t="shared" si="5"/>
        <v>250.40400000000002</v>
      </c>
      <c r="AW17" s="10">
        <v>14</v>
      </c>
      <c r="AX17" s="10">
        <v>0.86</v>
      </c>
      <c r="AY17" s="10">
        <v>4.3E-3</v>
      </c>
      <c r="AZ17" s="10">
        <f t="shared" si="6"/>
        <v>200</v>
      </c>
      <c r="BB17" s="10">
        <v>14</v>
      </c>
      <c r="BC17" s="10">
        <v>0.72899999999999998</v>
      </c>
      <c r="BD17" s="10">
        <v>9</v>
      </c>
      <c r="BE17" s="10">
        <f t="shared" si="7"/>
        <v>8.1000000000000003E-2</v>
      </c>
    </row>
    <row r="18" spans="1:57">
      <c r="A18" s="10">
        <v>15</v>
      </c>
      <c r="B18" s="10">
        <v>1215</v>
      </c>
      <c r="C18" s="10">
        <v>319</v>
      </c>
      <c r="D18" s="10">
        <v>10000000</v>
      </c>
      <c r="E18" s="74">
        <f t="shared" si="0"/>
        <v>1215.0000319000001</v>
      </c>
      <c r="G18" s="10">
        <v>15</v>
      </c>
      <c r="H18" s="10">
        <v>8.1140000000000008</v>
      </c>
      <c r="I18" s="38">
        <v>10000</v>
      </c>
      <c r="J18" s="38">
        <f t="shared" si="1"/>
        <v>81140.000000000015</v>
      </c>
      <c r="L18" s="10">
        <v>15</v>
      </c>
      <c r="M18" s="10">
        <v>3.125</v>
      </c>
      <c r="N18" s="38">
        <v>10000</v>
      </c>
      <c r="O18" s="10">
        <f t="shared" si="2"/>
        <v>3.1250000000000001E-4</v>
      </c>
      <c r="Q18" s="10">
        <v>15</v>
      </c>
      <c r="R18" s="10">
        <v>93</v>
      </c>
      <c r="S18" s="10">
        <v>15.132</v>
      </c>
      <c r="T18" s="10">
        <v>31</v>
      </c>
      <c r="X18" s="10">
        <f t="shared" si="8"/>
        <v>139.13200000000001</v>
      </c>
      <c r="AG18" s="10">
        <v>15</v>
      </c>
      <c r="AH18" s="10">
        <v>8</v>
      </c>
      <c r="AI18" s="10">
        <v>5.19</v>
      </c>
      <c r="AJ18" s="10">
        <v>15</v>
      </c>
      <c r="AK18" s="10">
        <v>0.03</v>
      </c>
      <c r="AL18" s="10">
        <v>80</v>
      </c>
      <c r="AM18" s="10">
        <v>14.784000000000001</v>
      </c>
      <c r="AN18" s="10">
        <f>(AH18+AI18)+(AJ18-AK18)+(AL18-AM18)</f>
        <v>93.376000000000005</v>
      </c>
      <c r="AP18" s="10">
        <v>15</v>
      </c>
      <c r="AQ18" s="10">
        <v>3184</v>
      </c>
      <c r="AR18" s="10">
        <v>3.726</v>
      </c>
      <c r="AS18" s="71">
        <f t="shared" si="5"/>
        <v>11863.584000000001</v>
      </c>
      <c r="AW18" s="10">
        <v>15</v>
      </c>
      <c r="AX18" s="10">
        <v>0.27</v>
      </c>
      <c r="AY18" s="10">
        <v>8.9999999999999998E-4</v>
      </c>
      <c r="AZ18" s="10">
        <f t="shared" si="6"/>
        <v>300</v>
      </c>
      <c r="BB18" s="10">
        <v>15</v>
      </c>
      <c r="BC18" s="10">
        <v>3.0000000000000001E-3</v>
      </c>
      <c r="BD18" s="10">
        <v>12</v>
      </c>
      <c r="BE18" s="10">
        <f t="shared" si="7"/>
        <v>2.5000000000000001E-4</v>
      </c>
    </row>
    <row r="19" spans="1:57">
      <c r="A19" s="10">
        <v>16</v>
      </c>
      <c r="B19" s="10">
        <v>823</v>
      </c>
      <c r="C19" s="10">
        <v>1</v>
      </c>
      <c r="D19" s="10">
        <v>100000000</v>
      </c>
      <c r="E19" s="73">
        <f t="shared" si="0"/>
        <v>823.00000001000001</v>
      </c>
      <c r="G19" s="10">
        <v>16</v>
      </c>
      <c r="H19" s="10">
        <v>14.0176</v>
      </c>
      <c r="I19" s="38">
        <v>10000</v>
      </c>
      <c r="J19" s="38">
        <f t="shared" si="1"/>
        <v>140176</v>
      </c>
      <c r="L19" s="10">
        <v>16</v>
      </c>
      <c r="M19" s="10">
        <v>0.72460000000000002</v>
      </c>
      <c r="N19" s="38">
        <v>10000</v>
      </c>
      <c r="O19" s="10">
        <f t="shared" si="2"/>
        <v>7.2460000000000008E-5</v>
      </c>
      <c r="Q19" s="10">
        <v>16</v>
      </c>
      <c r="R19" s="10">
        <v>108</v>
      </c>
      <c r="S19" s="71">
        <v>1345.0070000000001</v>
      </c>
      <c r="T19" s="10">
        <v>235</v>
      </c>
      <c r="X19" s="71">
        <f t="shared" si="8"/>
        <v>1688.0070000000001</v>
      </c>
      <c r="AG19" s="10">
        <v>16</v>
      </c>
      <c r="AH19" s="10">
        <v>50</v>
      </c>
      <c r="AI19" s="10">
        <v>6.31</v>
      </c>
      <c r="AJ19" s="10">
        <v>14</v>
      </c>
      <c r="AN19" s="10">
        <f>AH19-(AI19+AJ19)+AK19+AL19+AM19</f>
        <v>29.69</v>
      </c>
      <c r="AP19" s="10">
        <v>16</v>
      </c>
      <c r="AQ19" s="10">
        <v>0.187</v>
      </c>
      <c r="AR19" s="10">
        <v>19</v>
      </c>
      <c r="AS19" s="10">
        <f t="shared" si="5"/>
        <v>3.5529999999999999</v>
      </c>
      <c r="AW19" s="10">
        <v>16</v>
      </c>
      <c r="AX19" s="10">
        <v>31.63</v>
      </c>
      <c r="AY19" s="10">
        <v>8.1839999999999993</v>
      </c>
      <c r="AZ19" s="66">
        <f t="shared" si="6"/>
        <v>3.8648582600195507</v>
      </c>
      <c r="BB19" s="10">
        <v>16</v>
      </c>
      <c r="BC19" s="10">
        <v>1.8599999999999998E-2</v>
      </c>
      <c r="BD19" s="10">
        <v>93</v>
      </c>
      <c r="BE19" s="10">
        <f t="shared" si="7"/>
        <v>1.9999999999999998E-4</v>
      </c>
    </row>
    <row r="20" spans="1:57">
      <c r="G20" s="10">
        <v>17</v>
      </c>
      <c r="H20" s="10">
        <v>0.4</v>
      </c>
      <c r="I20" s="38">
        <v>100000</v>
      </c>
      <c r="J20" s="38">
        <f t="shared" si="1"/>
        <v>40000</v>
      </c>
      <c r="L20" s="10">
        <v>17</v>
      </c>
      <c r="M20" s="10">
        <v>0.7</v>
      </c>
      <c r="N20" s="38">
        <v>100000</v>
      </c>
      <c r="O20" s="10">
        <f t="shared" si="2"/>
        <v>6.9999999999999999E-6</v>
      </c>
      <c r="Q20" s="10">
        <v>17</v>
      </c>
      <c r="R20" s="10">
        <v>350</v>
      </c>
      <c r="S20" s="10">
        <v>9.36</v>
      </c>
      <c r="T20" s="10">
        <v>1.4999999999999999E-4</v>
      </c>
      <c r="U20" s="10">
        <v>32</v>
      </c>
      <c r="X20" s="10">
        <f t="shared" si="8"/>
        <v>391.36015000000003</v>
      </c>
      <c r="AG20" s="10">
        <v>17</v>
      </c>
      <c r="AH20" s="10">
        <v>1351</v>
      </c>
      <c r="AI20" s="10">
        <v>8.7899999999999991</v>
      </c>
      <c r="AJ20" s="10">
        <v>5.7279999999999998</v>
      </c>
      <c r="AN20" s="10">
        <f>AH20-(AI20+AJ20)+AK20+AL20+AM20</f>
        <v>1336.482</v>
      </c>
      <c r="AP20" s="10">
        <v>17</v>
      </c>
      <c r="AQ20" s="10">
        <v>314.00799999999998</v>
      </c>
      <c r="AR20" s="10">
        <v>31</v>
      </c>
      <c r="AS20" s="71">
        <f t="shared" si="5"/>
        <v>9734.2479999999996</v>
      </c>
      <c r="AW20" s="10">
        <v>17</v>
      </c>
      <c r="AX20" s="10">
        <v>14.6</v>
      </c>
      <c r="AY20" s="10">
        <v>3.1560000000000001</v>
      </c>
      <c r="AZ20" s="66">
        <f t="shared" si="6"/>
        <v>4.6261089987325725</v>
      </c>
      <c r="BB20" s="10">
        <v>17</v>
      </c>
      <c r="BC20" s="10">
        <v>1.25E-3</v>
      </c>
      <c r="BD20" s="10">
        <v>500</v>
      </c>
      <c r="BE20" s="10">
        <f t="shared" si="7"/>
        <v>2.5000000000000002E-6</v>
      </c>
    </row>
    <row r="21" spans="1:57">
      <c r="G21" s="10">
        <v>18</v>
      </c>
      <c r="H21" s="10">
        <v>7.89</v>
      </c>
      <c r="I21" s="38">
        <v>1000000</v>
      </c>
      <c r="J21" s="38">
        <f t="shared" si="1"/>
        <v>7890000</v>
      </c>
      <c r="L21" s="10">
        <v>18</v>
      </c>
      <c r="M21" s="10">
        <v>0.86499999999999999</v>
      </c>
      <c r="N21" s="38">
        <v>100000</v>
      </c>
      <c r="O21" s="10">
        <f t="shared" si="2"/>
        <v>8.6500000000000002E-6</v>
      </c>
      <c r="Q21" s="10">
        <v>18</v>
      </c>
      <c r="R21" s="10">
        <v>19.75</v>
      </c>
      <c r="S21" s="10">
        <v>301</v>
      </c>
      <c r="T21" s="10">
        <v>831</v>
      </c>
      <c r="U21" s="10">
        <v>831.01900000000001</v>
      </c>
      <c r="V21" s="10">
        <v>13836</v>
      </c>
      <c r="X21" s="71">
        <f t="shared" si="8"/>
        <v>15818.769</v>
      </c>
      <c r="AG21" s="10">
        <v>18</v>
      </c>
      <c r="AH21" s="10">
        <v>75</v>
      </c>
      <c r="AI21" s="10">
        <v>3.0000000000000001E-3</v>
      </c>
      <c r="AJ21" s="10">
        <v>19.350999999999999</v>
      </c>
      <c r="AK21" s="10">
        <v>14</v>
      </c>
      <c r="AL21" s="10">
        <v>5.0000000000000002E-5</v>
      </c>
      <c r="AN21" s="10">
        <f>(AH21-AI21)-(AJ21-AK21)+AL21+AM21</f>
        <v>69.646050000000002</v>
      </c>
      <c r="AP21" s="10">
        <v>18</v>
      </c>
      <c r="AQ21" s="10">
        <v>9.9999999999999995E-7</v>
      </c>
      <c r="AR21" s="10">
        <v>8939</v>
      </c>
      <c r="AS21" s="10">
        <f t="shared" si="5"/>
        <v>8.938999999999999E-3</v>
      </c>
      <c r="AW21" s="10">
        <v>18</v>
      </c>
      <c r="AX21" s="10">
        <v>8.3255999999999997</v>
      </c>
      <c r="AY21" s="10">
        <v>14.3</v>
      </c>
      <c r="AZ21" s="66">
        <f t="shared" si="6"/>
        <v>0.58220979020979013</v>
      </c>
      <c r="BB21" s="10">
        <v>18</v>
      </c>
      <c r="BC21" s="10">
        <v>0.13200000000000001</v>
      </c>
      <c r="BD21" s="10">
        <v>132</v>
      </c>
      <c r="BE21" s="10">
        <f t="shared" si="7"/>
        <v>1E-3</v>
      </c>
    </row>
    <row r="22" spans="1:57" ht="16">
      <c r="E22" s="30"/>
      <c r="G22" s="10">
        <v>19</v>
      </c>
      <c r="H22" s="10">
        <v>0.72399999999999998</v>
      </c>
      <c r="I22" s="38">
        <v>1000000</v>
      </c>
      <c r="J22" s="38">
        <f t="shared" si="1"/>
        <v>724000</v>
      </c>
      <c r="L22" s="10">
        <v>19</v>
      </c>
      <c r="M22" s="10">
        <v>723.05</v>
      </c>
      <c r="N22" s="38">
        <v>1000000</v>
      </c>
      <c r="O22" s="10">
        <f t="shared" si="2"/>
        <v>7.2304999999999993E-4</v>
      </c>
      <c r="Q22" s="10">
        <v>19</v>
      </c>
      <c r="R22" s="38">
        <v>1360</v>
      </c>
      <c r="S22" s="10">
        <v>0.87644999999999995</v>
      </c>
      <c r="T22" s="10">
        <v>14</v>
      </c>
      <c r="U22" s="10">
        <v>93.72</v>
      </c>
      <c r="V22" s="10">
        <v>81</v>
      </c>
      <c r="W22" s="10">
        <v>6.9999999999999997E-7</v>
      </c>
      <c r="X22" s="75">
        <f t="shared" si="8"/>
        <v>1549.5964507000001</v>
      </c>
      <c r="AG22" s="10">
        <v>19</v>
      </c>
      <c r="AH22" s="10">
        <v>16.32</v>
      </c>
      <c r="AI22" s="10">
        <v>4.4999999999999998E-2</v>
      </c>
      <c r="AJ22" s="10">
        <v>5.25</v>
      </c>
      <c r="AK22" s="10">
        <v>9.8699999999999996E-2</v>
      </c>
      <c r="AL22" s="10">
        <v>0.1</v>
      </c>
      <c r="AM22" s="10">
        <v>0.03</v>
      </c>
      <c r="AN22" s="10">
        <f>(AH22-AI22)-(AJ22+AK22+AL22+AM22)</f>
        <v>10.796299999999999</v>
      </c>
      <c r="AP22" s="31"/>
      <c r="AQ22" s="31" t="s">
        <v>200</v>
      </c>
      <c r="AR22" s="31" t="s">
        <v>199</v>
      </c>
      <c r="AS22" s="31" t="s">
        <v>198</v>
      </c>
      <c r="AT22" s="31" t="s">
        <v>197</v>
      </c>
      <c r="AU22" s="31" t="s">
        <v>196</v>
      </c>
      <c r="AW22" s="10">
        <v>19</v>
      </c>
      <c r="AX22" s="10">
        <v>12.78</v>
      </c>
      <c r="AY22" s="10">
        <v>123.1001</v>
      </c>
      <c r="AZ22" s="66">
        <f t="shared" si="6"/>
        <v>0.10381794978233161</v>
      </c>
      <c r="BB22" s="10">
        <v>19</v>
      </c>
      <c r="BC22" s="10">
        <v>0.89759999999999995</v>
      </c>
      <c r="BD22" s="10">
        <v>19</v>
      </c>
      <c r="BE22" s="67">
        <f t="shared" si="7"/>
        <v>4.7242105263157891E-2</v>
      </c>
    </row>
    <row r="23" spans="1:57">
      <c r="G23" s="10">
        <v>20</v>
      </c>
      <c r="H23" s="10">
        <v>8.1234000000000002</v>
      </c>
      <c r="I23" s="38">
        <v>10000000</v>
      </c>
      <c r="J23" s="38">
        <f t="shared" si="1"/>
        <v>81234000</v>
      </c>
      <c r="L23" s="10">
        <v>20</v>
      </c>
      <c r="M23" s="10">
        <v>815.23</v>
      </c>
      <c r="N23" s="38">
        <v>10000000</v>
      </c>
      <c r="O23" s="10">
        <f t="shared" si="2"/>
        <v>8.1522999999999999E-5</v>
      </c>
      <c r="Q23" s="10">
        <v>20</v>
      </c>
      <c r="R23" s="10">
        <v>857</v>
      </c>
      <c r="S23" s="10">
        <v>1E-8</v>
      </c>
      <c r="T23" s="76">
        <v>8.91E-9</v>
      </c>
      <c r="X23" s="76">
        <f t="shared" si="8"/>
        <v>857.00000001890999</v>
      </c>
      <c r="AG23" s="10">
        <v>20</v>
      </c>
      <c r="AH23" s="10">
        <v>14134</v>
      </c>
      <c r="AI23" s="10">
        <v>78</v>
      </c>
      <c r="AJ23" s="10">
        <v>15.7639</v>
      </c>
      <c r="AK23" s="10">
        <v>6</v>
      </c>
      <c r="AL23" s="10">
        <v>0.75394000000000005</v>
      </c>
      <c r="AN23" s="77">
        <f>AH23-(AI23-AJ23+AK23-AL23)+AM23</f>
        <v>14066.51784</v>
      </c>
      <c r="AP23" s="10">
        <v>19</v>
      </c>
      <c r="AQ23" s="10">
        <v>0.5</v>
      </c>
      <c r="AR23" s="10">
        <v>0.76</v>
      </c>
      <c r="AT23" s="10">
        <v>5</v>
      </c>
      <c r="AU23" s="10">
        <f>(AQ23+AR23+AS23)*AT23</f>
        <v>6.3</v>
      </c>
      <c r="AW23" s="10">
        <v>20</v>
      </c>
      <c r="AX23" s="10">
        <v>9.1829999999999998</v>
      </c>
      <c r="AY23" s="10">
        <v>1.2E-4</v>
      </c>
      <c r="AZ23" s="38">
        <f t="shared" si="6"/>
        <v>76525</v>
      </c>
      <c r="BB23" s="10">
        <v>20</v>
      </c>
      <c r="BC23" s="10">
        <v>19.14</v>
      </c>
      <c r="BD23" s="10">
        <v>175</v>
      </c>
      <c r="BE23" s="66">
        <f t="shared" si="7"/>
        <v>0.10937142857142858</v>
      </c>
    </row>
    <row r="24" spans="1:57">
      <c r="AP24" s="10">
        <v>20</v>
      </c>
      <c r="AQ24" s="10">
        <v>8.35</v>
      </c>
      <c r="AR24" s="10">
        <v>6.0030000000000001</v>
      </c>
      <c r="AS24" s="10">
        <v>0.01</v>
      </c>
      <c r="AT24" s="10">
        <v>0.7</v>
      </c>
      <c r="AU24" s="10">
        <f>(AQ24+AR24+AS24)*AT24</f>
        <v>10.054099999999998</v>
      </c>
    </row>
    <row r="25" spans="1:57">
      <c r="AP25" s="10">
        <v>21</v>
      </c>
      <c r="AQ25" s="10">
        <v>14</v>
      </c>
      <c r="AR25" s="10">
        <v>3.0000000000000001E-3</v>
      </c>
      <c r="AS25" s="10">
        <v>6</v>
      </c>
      <c r="AT25" s="10">
        <v>9</v>
      </c>
      <c r="AU25" s="10">
        <f>(AQ25+AR25+AS25)*AT25</f>
        <v>180.02699999999999</v>
      </c>
    </row>
    <row r="26" spans="1:57">
      <c r="A26" s="11" t="s">
        <v>759</v>
      </c>
      <c r="B26" s="11"/>
      <c r="C26" s="11"/>
      <c r="D26" s="11"/>
      <c r="E26" s="11"/>
      <c r="AP26" s="10">
        <v>22</v>
      </c>
      <c r="AQ26" s="10">
        <v>131</v>
      </c>
      <c r="AR26" s="10">
        <v>0.01</v>
      </c>
      <c r="AS26" s="10">
        <v>1E-4</v>
      </c>
      <c r="AT26" s="10">
        <v>14.1</v>
      </c>
      <c r="AU26" s="77">
        <f>(AQ26+AR26+AS26)*AT26</f>
        <v>1847.2424099999998</v>
      </c>
    </row>
    <row r="27" spans="1:57">
      <c r="A27" s="12" t="s">
        <v>4</v>
      </c>
      <c r="B27" s="56" t="s">
        <v>760</v>
      </c>
      <c r="C27" s="56"/>
      <c r="D27" s="56"/>
      <c r="E27" s="56"/>
      <c r="AP27" s="10">
        <v>23</v>
      </c>
      <c r="AQ27" s="10">
        <v>0.75</v>
      </c>
      <c r="AR27" s="10">
        <v>0.3</v>
      </c>
      <c r="AT27" s="10">
        <v>5</v>
      </c>
      <c r="AU27" s="10">
        <f>(AQ27-AR27-AS27)*AT27</f>
        <v>2.25</v>
      </c>
    </row>
    <row r="28" spans="1:57">
      <c r="A28" s="10">
        <v>1</v>
      </c>
      <c r="B28" s="78" t="s">
        <v>743</v>
      </c>
      <c r="C28" s="78"/>
      <c r="D28" s="78"/>
      <c r="E28" s="78"/>
      <c r="F28" s="79"/>
      <c r="G28" s="79"/>
      <c r="H28" s="79"/>
      <c r="I28" s="79"/>
      <c r="AP28" s="10">
        <v>24</v>
      </c>
      <c r="AQ28" s="10">
        <v>0.97799999999999998</v>
      </c>
      <c r="AR28" s="10">
        <v>1.2999999999999999E-3</v>
      </c>
      <c r="AT28" s="10">
        <v>8.01</v>
      </c>
      <c r="AU28" s="10">
        <f>(AQ28-AR28-AS28)*AT28</f>
        <v>7.8233670000000002</v>
      </c>
    </row>
    <row r="29" spans="1:57">
      <c r="A29" s="10">
        <v>2</v>
      </c>
      <c r="B29" s="78" t="s">
        <v>744</v>
      </c>
      <c r="C29" s="78"/>
      <c r="D29" s="78"/>
      <c r="E29" s="78"/>
      <c r="F29" s="79"/>
      <c r="G29" s="79"/>
      <c r="H29" s="79"/>
      <c r="I29" s="79"/>
      <c r="AP29" s="10">
        <v>25</v>
      </c>
      <c r="AQ29" s="10">
        <v>14</v>
      </c>
      <c r="AR29" s="10">
        <v>0.1</v>
      </c>
      <c r="AT29" s="10">
        <v>31</v>
      </c>
      <c r="AU29" s="10">
        <f>(AQ29-AR29-AS29)*AT29</f>
        <v>430.90000000000003</v>
      </c>
    </row>
    <row r="30" spans="1:57">
      <c r="A30" s="10">
        <v>3</v>
      </c>
      <c r="B30" s="78" t="s">
        <v>745</v>
      </c>
      <c r="C30" s="78"/>
      <c r="D30" s="78"/>
      <c r="E30" s="78"/>
      <c r="F30" s="79"/>
      <c r="G30" s="79"/>
      <c r="H30" s="79"/>
      <c r="AP30" s="10">
        <v>26</v>
      </c>
      <c r="AQ30" s="10">
        <v>1543</v>
      </c>
      <c r="AR30" s="10">
        <v>5.0000000000000001E-3</v>
      </c>
      <c r="AT30" s="10">
        <v>51</v>
      </c>
      <c r="AU30" s="71">
        <f>(AQ30-AR30-AS30)*AT30</f>
        <v>78692.744999999995</v>
      </c>
    </row>
    <row r="31" spans="1:57">
      <c r="A31" s="10">
        <v>4</v>
      </c>
      <c r="B31" s="78" t="s">
        <v>746</v>
      </c>
      <c r="C31" s="78"/>
      <c r="D31" s="78"/>
      <c r="E31" s="78"/>
      <c r="F31" s="79"/>
      <c r="G31" s="79"/>
      <c r="H31" s="79"/>
    </row>
    <row r="32" spans="1:57">
      <c r="A32" s="10">
        <v>5</v>
      </c>
      <c r="B32" s="78" t="s">
        <v>747</v>
      </c>
      <c r="C32" s="78"/>
      <c r="D32" s="78"/>
      <c r="E32" s="78"/>
      <c r="F32" s="79"/>
      <c r="G32" s="79"/>
      <c r="H32" s="79"/>
    </row>
    <row r="33" spans="1:8">
      <c r="A33" s="10">
        <v>6</v>
      </c>
      <c r="B33" s="78" t="s">
        <v>748</v>
      </c>
      <c r="C33" s="78"/>
      <c r="D33" s="78"/>
      <c r="E33" s="78"/>
      <c r="F33" s="79"/>
      <c r="G33" s="79"/>
      <c r="H33" s="79"/>
    </row>
    <row r="34" spans="1:8">
      <c r="A34" s="10">
        <v>7</v>
      </c>
      <c r="B34" s="78" t="s">
        <v>749</v>
      </c>
      <c r="C34" s="78"/>
      <c r="D34" s="78"/>
      <c r="E34" s="78"/>
      <c r="F34" s="79"/>
      <c r="G34" s="79"/>
      <c r="H34" s="79"/>
    </row>
    <row r="35" spans="1:8">
      <c r="A35" s="10">
        <v>8</v>
      </c>
      <c r="B35" s="78" t="s">
        <v>750</v>
      </c>
      <c r="C35" s="78"/>
      <c r="D35" s="78"/>
      <c r="E35" s="78"/>
      <c r="F35" s="79"/>
      <c r="G35" s="79"/>
      <c r="H35" s="79"/>
    </row>
    <row r="36" spans="1:8">
      <c r="A36" s="10">
        <v>9</v>
      </c>
      <c r="B36" s="78" t="s">
        <v>751</v>
      </c>
      <c r="C36" s="78"/>
      <c r="D36" s="78"/>
      <c r="E36" s="78"/>
      <c r="F36" s="79"/>
      <c r="G36" s="79"/>
      <c r="H36" s="79"/>
    </row>
    <row r="37" spans="1:8">
      <c r="A37" s="10">
        <v>10</v>
      </c>
      <c r="B37" s="78" t="s">
        <v>752</v>
      </c>
      <c r="C37" s="78"/>
      <c r="D37" s="78"/>
      <c r="E37" s="78"/>
      <c r="F37" s="79"/>
      <c r="G37" s="79"/>
      <c r="H37" s="79"/>
    </row>
    <row r="38" spans="1:8">
      <c r="A38" s="10">
        <v>11</v>
      </c>
      <c r="B38" s="78" t="s">
        <v>753</v>
      </c>
      <c r="C38" s="78"/>
      <c r="D38" s="78"/>
      <c r="E38" s="78"/>
      <c r="F38" s="79"/>
      <c r="G38" s="79"/>
      <c r="H38" s="79"/>
    </row>
    <row r="39" spans="1:8">
      <c r="A39" s="10">
        <v>12</v>
      </c>
      <c r="B39" s="78" t="s">
        <v>754</v>
      </c>
      <c r="C39" s="78"/>
      <c r="D39" s="78"/>
      <c r="E39" s="78"/>
      <c r="F39" s="79"/>
      <c r="G39" s="79"/>
      <c r="H39" s="79"/>
    </row>
    <row r="40" spans="1:8">
      <c r="A40" s="10">
        <v>13</v>
      </c>
      <c r="B40" s="78" t="s">
        <v>755</v>
      </c>
      <c r="C40" s="78"/>
      <c r="D40" s="78"/>
      <c r="E40" s="78"/>
      <c r="F40" s="79"/>
      <c r="G40" s="79"/>
      <c r="H40" s="79"/>
    </row>
    <row r="41" spans="1:8">
      <c r="A41" s="10">
        <v>14</v>
      </c>
      <c r="B41" s="78" t="s">
        <v>756</v>
      </c>
      <c r="C41" s="78"/>
      <c r="D41" s="78"/>
      <c r="E41" s="78"/>
      <c r="F41" s="79"/>
      <c r="G41" s="79"/>
      <c r="H41" s="79"/>
    </row>
    <row r="42" spans="1:8">
      <c r="A42" s="10">
        <v>15</v>
      </c>
      <c r="B42" s="78" t="s">
        <v>757</v>
      </c>
      <c r="C42" s="78"/>
      <c r="D42" s="78"/>
      <c r="E42" s="78"/>
      <c r="F42" s="79"/>
      <c r="G42" s="79"/>
      <c r="H42" s="79"/>
    </row>
    <row r="43" spans="1:8">
      <c r="A43" s="10">
        <v>16</v>
      </c>
      <c r="B43" s="78" t="s">
        <v>758</v>
      </c>
      <c r="C43" s="78"/>
      <c r="D43" s="78"/>
      <c r="E43" s="78"/>
      <c r="F43" s="79"/>
      <c r="G43" s="79"/>
      <c r="H43" s="79"/>
    </row>
    <row r="46" spans="1:8">
      <c r="E46" s="30"/>
    </row>
    <row r="70" spans="1:8">
      <c r="A70" s="11"/>
      <c r="B70" s="11"/>
      <c r="C70" s="11"/>
      <c r="D70" s="11"/>
      <c r="E70" s="11"/>
      <c r="F70" s="11"/>
      <c r="G70" s="11"/>
      <c r="H70" s="11"/>
    </row>
    <row r="71" spans="1:8">
      <c r="A71" s="12"/>
      <c r="B71" s="31"/>
      <c r="C71" s="31"/>
      <c r="D71" s="31"/>
      <c r="E71" s="31"/>
      <c r="F71" s="31"/>
      <c r="G71" s="31"/>
      <c r="H71" s="31"/>
    </row>
    <row r="87" spans="1:8">
      <c r="C87" s="71"/>
      <c r="H87" s="71"/>
    </row>
    <row r="89" spans="1:8">
      <c r="H89" s="71"/>
    </row>
    <row r="90" spans="1:8">
      <c r="B90" s="38"/>
      <c r="H90" s="75"/>
    </row>
    <row r="91" spans="1:8">
      <c r="D91" s="76"/>
      <c r="H91" s="76"/>
    </row>
    <row r="94" spans="1:8">
      <c r="A94" s="11"/>
      <c r="B94" s="11"/>
      <c r="C94" s="11"/>
      <c r="D94" s="11"/>
      <c r="E94" s="11"/>
      <c r="F94" s="11"/>
      <c r="G94" s="30"/>
      <c r="H94" s="30"/>
    </row>
    <row r="95" spans="1:8">
      <c r="A95" s="12"/>
      <c r="B95" s="31"/>
      <c r="C95" s="31"/>
      <c r="D95" s="31"/>
      <c r="E95" s="31"/>
      <c r="F95" s="31"/>
    </row>
    <row r="118" spans="10:10">
      <c r="J118" s="10">
        <v>1E-8</v>
      </c>
    </row>
    <row r="152" ht="19.5" customHeight="1"/>
    <row r="163" spans="5:6">
      <c r="E163" s="30"/>
      <c r="F163" s="30"/>
    </row>
    <row r="164" spans="5:6">
      <c r="E164" s="31"/>
    </row>
    <row r="211" spans="3:4">
      <c r="C211" s="30"/>
      <c r="D211" s="30"/>
    </row>
    <row r="212" spans="3:4">
      <c r="C212" s="31"/>
      <c r="D212" s="31"/>
    </row>
  </sheetData>
  <mergeCells count="30">
    <mergeCell ref="B36:E36"/>
    <mergeCell ref="B37:E37"/>
    <mergeCell ref="B38:E38"/>
    <mergeCell ref="B39:E39"/>
    <mergeCell ref="B31:E31"/>
    <mergeCell ref="B32:E32"/>
    <mergeCell ref="B33:E33"/>
    <mergeCell ref="B34:E34"/>
    <mergeCell ref="B35:E35"/>
    <mergeCell ref="A26:E26"/>
    <mergeCell ref="B27:E27"/>
    <mergeCell ref="B28:E28"/>
    <mergeCell ref="B29:E29"/>
    <mergeCell ref="B30:E30"/>
    <mergeCell ref="B40:E40"/>
    <mergeCell ref="B41:E41"/>
    <mergeCell ref="A94:F94"/>
    <mergeCell ref="A2:E2"/>
    <mergeCell ref="BG2:BH2"/>
    <mergeCell ref="AW2:AZ2"/>
    <mergeCell ref="BB2:BE2"/>
    <mergeCell ref="AP2:AS2"/>
    <mergeCell ref="Q2:X2"/>
    <mergeCell ref="Z2:AE2"/>
    <mergeCell ref="AG2:AN2"/>
    <mergeCell ref="G2:J2"/>
    <mergeCell ref="L2:O2"/>
    <mergeCell ref="A70:H70"/>
    <mergeCell ref="B42:E42"/>
    <mergeCell ref="B43:E4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/>
  <dimension ref="A1:AS48"/>
  <sheetViews>
    <sheetView topLeftCell="AD1" workbookViewId="0">
      <selection activeCell="AD1" sqref="AD1"/>
    </sheetView>
  </sheetViews>
  <sheetFormatPr baseColWidth="10" defaultRowHeight="15"/>
  <cols>
    <col min="1" max="1" width="9.5" style="10" customWidth="1"/>
    <col min="2" max="2" width="10.5" style="10" customWidth="1"/>
    <col min="3" max="3" width="20.1640625" style="10" customWidth="1"/>
    <col min="4" max="4" width="16.1640625" style="10" customWidth="1"/>
    <col min="5" max="5" width="10.83203125" style="10"/>
    <col min="6" max="6" width="9.5" style="10" customWidth="1"/>
    <col min="7" max="7" width="13.5" style="10" customWidth="1"/>
    <col min="8" max="8" width="15.5" style="10" customWidth="1"/>
    <col min="9" max="9" width="10.83203125" style="10"/>
    <col min="10" max="10" width="9.6640625" style="10" customWidth="1"/>
    <col min="11" max="11" width="52.33203125" style="10" customWidth="1"/>
    <col min="12" max="13" width="10.83203125" style="10"/>
    <col min="14" max="14" width="9.1640625" style="10" customWidth="1"/>
    <col min="15" max="15" width="11.5" style="10" customWidth="1"/>
    <col min="16" max="16" width="12.6640625" style="10" customWidth="1"/>
    <col min="17" max="17" width="14.5" style="10" customWidth="1"/>
    <col min="18" max="18" width="14" style="10" customWidth="1"/>
    <col min="19" max="19" width="16.5" style="10" customWidth="1"/>
    <col min="20" max="20" width="19.33203125" style="10" customWidth="1"/>
    <col min="21" max="21" width="10.83203125" style="10"/>
    <col min="22" max="22" width="9.5" style="10" customWidth="1"/>
    <col min="23" max="23" width="13.6640625" style="10" customWidth="1"/>
    <col min="24" max="24" width="15.1640625" style="10" customWidth="1"/>
    <col min="25" max="25" width="10.83203125" style="10"/>
    <col min="26" max="26" width="9.6640625" style="10" customWidth="1"/>
    <col min="27" max="27" width="13.33203125" style="10" customWidth="1"/>
    <col min="28" max="30" width="10.83203125" style="10"/>
    <col min="31" max="31" width="9.5" style="10" customWidth="1"/>
    <col min="32" max="32" width="13.5" style="10" customWidth="1"/>
    <col min="33" max="33" width="19.83203125" style="10" customWidth="1"/>
    <col min="34" max="34" width="12.6640625" style="10" customWidth="1"/>
    <col min="35" max="36" width="10.83203125" style="10"/>
    <col min="37" max="37" width="16.1640625" style="10" customWidth="1"/>
    <col min="38" max="38" width="19.5" style="10" customWidth="1"/>
    <col min="39" max="39" width="14.83203125" style="10" customWidth="1"/>
    <col min="40" max="41" width="10.83203125" style="10"/>
    <col min="42" max="42" width="50.83203125" style="10" customWidth="1"/>
    <col min="43" max="43" width="21.1640625" style="10" customWidth="1"/>
    <col min="44" max="44" width="17.1640625" style="10" customWidth="1"/>
    <col min="45" max="16384" width="10.83203125" style="10"/>
  </cols>
  <sheetData>
    <row r="1" spans="1:45" ht="100" customHeight="1"/>
    <row r="2" spans="1:45">
      <c r="A2" s="11" t="s">
        <v>424</v>
      </c>
      <c r="B2" s="11"/>
      <c r="C2" s="11"/>
      <c r="D2" s="11"/>
      <c r="F2" s="11" t="s">
        <v>433</v>
      </c>
      <c r="G2" s="11"/>
      <c r="H2" s="11"/>
      <c r="J2" s="11" t="s">
        <v>461</v>
      </c>
      <c r="K2" s="11"/>
      <c r="L2" s="11"/>
      <c r="N2" s="11" t="s">
        <v>481</v>
      </c>
      <c r="O2" s="11"/>
      <c r="P2" s="11"/>
      <c r="Q2" s="11"/>
      <c r="R2" s="11"/>
      <c r="S2" s="11"/>
      <c r="T2" s="11"/>
      <c r="V2" s="11" t="s">
        <v>482</v>
      </c>
      <c r="W2" s="11"/>
      <c r="X2" s="11"/>
      <c r="Z2" s="11" t="s">
        <v>483</v>
      </c>
      <c r="AA2" s="11"/>
      <c r="AB2" s="11"/>
      <c r="AC2" s="11"/>
      <c r="AE2" s="11" t="s">
        <v>641</v>
      </c>
      <c r="AF2" s="11"/>
      <c r="AG2" s="11"/>
      <c r="AH2" s="11"/>
      <c r="AJ2" s="11" t="s">
        <v>640</v>
      </c>
      <c r="AK2" s="11"/>
      <c r="AL2" s="11"/>
      <c r="AM2" s="11"/>
      <c r="AO2" s="11" t="s">
        <v>642</v>
      </c>
      <c r="AP2" s="11"/>
      <c r="AQ2" s="11"/>
      <c r="AR2" s="11"/>
    </row>
    <row r="3" spans="1:45" ht="32">
      <c r="A3" s="12" t="s">
        <v>4</v>
      </c>
      <c r="B3" s="31" t="s">
        <v>83</v>
      </c>
      <c r="C3" s="31" t="s">
        <v>425</v>
      </c>
      <c r="D3" s="31" t="s">
        <v>426</v>
      </c>
      <c r="F3" s="12" t="s">
        <v>4</v>
      </c>
      <c r="G3" s="31" t="s">
        <v>425</v>
      </c>
      <c r="H3" s="31" t="s">
        <v>426</v>
      </c>
      <c r="J3" s="12" t="s">
        <v>4</v>
      </c>
      <c r="K3" s="31" t="s">
        <v>234</v>
      </c>
      <c r="L3" s="31" t="s">
        <v>196</v>
      </c>
      <c r="N3" s="12" t="s">
        <v>4</v>
      </c>
      <c r="O3" s="31" t="s">
        <v>118</v>
      </c>
      <c r="P3" s="31" t="s">
        <v>470</v>
      </c>
      <c r="Q3" s="31" t="s">
        <v>86</v>
      </c>
      <c r="R3" s="31" t="s">
        <v>127</v>
      </c>
      <c r="S3" s="31" t="s">
        <v>426</v>
      </c>
      <c r="T3" s="31" t="s">
        <v>425</v>
      </c>
      <c r="V3" s="12" t="s">
        <v>4</v>
      </c>
      <c r="W3" s="31" t="s">
        <v>425</v>
      </c>
      <c r="X3" s="31" t="s">
        <v>485</v>
      </c>
      <c r="Z3" s="12" t="s">
        <v>4</v>
      </c>
      <c r="AA3" s="31" t="s">
        <v>425</v>
      </c>
      <c r="AB3" s="31" t="s">
        <v>485</v>
      </c>
      <c r="AC3" s="31" t="s">
        <v>487</v>
      </c>
      <c r="AE3" s="12" t="s">
        <v>4</v>
      </c>
      <c r="AF3" s="31" t="s">
        <v>425</v>
      </c>
      <c r="AG3" s="31" t="s">
        <v>485</v>
      </c>
      <c r="AH3" s="31" t="s">
        <v>487</v>
      </c>
      <c r="AJ3" s="12" t="s">
        <v>4</v>
      </c>
      <c r="AK3" s="31" t="s">
        <v>425</v>
      </c>
      <c r="AL3" s="31" t="s">
        <v>485</v>
      </c>
      <c r="AM3" s="31" t="s">
        <v>487</v>
      </c>
      <c r="AO3" s="12" t="s">
        <v>4</v>
      </c>
      <c r="AP3" s="31" t="s">
        <v>639</v>
      </c>
      <c r="AQ3" s="56" t="s">
        <v>196</v>
      </c>
      <c r="AR3" s="56"/>
      <c r="AS3" s="56"/>
    </row>
    <row r="4" spans="1:45">
      <c r="A4" s="10">
        <v>1</v>
      </c>
      <c r="B4" s="19">
        <v>0.5</v>
      </c>
      <c r="C4" s="51">
        <v>0.5</v>
      </c>
      <c r="D4" s="57" t="s">
        <v>430</v>
      </c>
      <c r="F4" s="10">
        <v>1</v>
      </c>
      <c r="G4" s="36">
        <v>0.04</v>
      </c>
      <c r="H4" s="57" t="s">
        <v>430</v>
      </c>
      <c r="J4" s="10">
        <v>1</v>
      </c>
      <c r="K4" s="36" t="s">
        <v>464</v>
      </c>
      <c r="L4" s="36">
        <f>(0.5+0.125)/(0.75-0.125)</f>
        <v>1</v>
      </c>
      <c r="N4" s="10">
        <v>1</v>
      </c>
      <c r="O4" s="20">
        <v>0.5</v>
      </c>
      <c r="P4" s="20">
        <v>0.5</v>
      </c>
      <c r="Q4" s="20">
        <v>2</v>
      </c>
      <c r="R4" s="36" t="str">
        <f>factores(Q4)</f>
        <v>2*1</v>
      </c>
      <c r="S4" s="57" t="s">
        <v>430</v>
      </c>
      <c r="T4" s="17">
        <v>0.5</v>
      </c>
      <c r="V4" s="10">
        <v>1</v>
      </c>
      <c r="W4" s="36">
        <v>0.4</v>
      </c>
      <c r="X4" s="36" t="str">
        <f>Quebrado(0,4/GCD(4,10),10/GCD(4,10))</f>
        <v>2/5</v>
      </c>
      <c r="Z4" s="10">
        <v>1</v>
      </c>
      <c r="AA4" s="36" t="s">
        <v>484</v>
      </c>
      <c r="AB4" s="51" t="s">
        <v>494</v>
      </c>
      <c r="AC4" s="20">
        <v>0.33333333333333331</v>
      </c>
      <c r="AE4" s="10">
        <v>1</v>
      </c>
      <c r="AF4" s="36" t="s">
        <v>525</v>
      </c>
      <c r="AG4" s="51" t="s">
        <v>526</v>
      </c>
      <c r="AH4" s="20">
        <f>(35-3)/90</f>
        <v>0.35555555555555557</v>
      </c>
      <c r="AJ4" s="10">
        <v>1</v>
      </c>
      <c r="AK4" s="36">
        <v>0.8</v>
      </c>
      <c r="AL4" s="51" t="s">
        <v>565</v>
      </c>
      <c r="AM4" s="20">
        <v>0.8</v>
      </c>
      <c r="AO4" s="10">
        <v>1</v>
      </c>
      <c r="AP4" s="36" t="s">
        <v>643</v>
      </c>
      <c r="AQ4" s="20">
        <f>(1/2+1/50+1/2)</f>
        <v>1.02</v>
      </c>
      <c r="AR4" s="20"/>
    </row>
    <row r="5" spans="1:45" ht="17.25" customHeight="1">
      <c r="A5" s="10">
        <v>2</v>
      </c>
      <c r="B5" s="19">
        <v>0.33333333333333331</v>
      </c>
      <c r="C5" s="51" t="s">
        <v>449</v>
      </c>
      <c r="D5" s="58" t="s">
        <v>431</v>
      </c>
      <c r="F5" s="10">
        <v>2</v>
      </c>
      <c r="G5" s="36" t="s">
        <v>434</v>
      </c>
      <c r="H5" s="58" t="s">
        <v>431</v>
      </c>
      <c r="J5" s="10">
        <v>2</v>
      </c>
      <c r="K5" s="36" t="s">
        <v>462</v>
      </c>
      <c r="L5" s="59">
        <f>(0.875+5.4-1.25)/(1.1+2.6-1.1875)</f>
        <v>2</v>
      </c>
      <c r="N5" s="10">
        <v>2</v>
      </c>
      <c r="O5" s="20">
        <v>0.33333333333333331</v>
      </c>
      <c r="P5" s="20">
        <v>0.33333333333333331</v>
      </c>
      <c r="Q5" s="20">
        <v>3</v>
      </c>
      <c r="R5" s="36" t="str">
        <f t="shared" ref="R5:R33" si="0">factores(Q5)</f>
        <v>3*1</v>
      </c>
      <c r="S5" s="58" t="s">
        <v>431</v>
      </c>
      <c r="T5" s="60">
        <v>0.33333333333333331</v>
      </c>
      <c r="V5" s="10">
        <v>2</v>
      </c>
      <c r="W5" s="36">
        <v>0.05</v>
      </c>
      <c r="X5" s="36" t="str">
        <f>Quebrado(0,5/GCD(5,100),100/GCD(5,100))</f>
        <v>1/20</v>
      </c>
      <c r="Z5" s="10">
        <v>2</v>
      </c>
      <c r="AA5" s="36" t="s">
        <v>486</v>
      </c>
      <c r="AB5" s="51" t="s">
        <v>489</v>
      </c>
      <c r="AC5" s="20">
        <v>0.44444444444444442</v>
      </c>
      <c r="AE5" s="10">
        <v>2</v>
      </c>
      <c r="AF5" s="36" t="s">
        <v>527</v>
      </c>
      <c r="AG5" s="51" t="s">
        <v>529</v>
      </c>
      <c r="AH5" s="20">
        <f>(64-6)/90</f>
        <v>0.64444444444444449</v>
      </c>
      <c r="AJ5" s="10">
        <v>2</v>
      </c>
      <c r="AK5" s="36">
        <v>0.185</v>
      </c>
      <c r="AL5" s="51" t="s">
        <v>570</v>
      </c>
      <c r="AM5" s="20">
        <v>0.185</v>
      </c>
      <c r="AO5" s="10">
        <v>2</v>
      </c>
      <c r="AP5" s="36" t="s">
        <v>644</v>
      </c>
      <c r="AQ5" s="19">
        <f>(16/100+21/5-2/3)</f>
        <v>3.6933333333333338</v>
      </c>
    </row>
    <row r="6" spans="1:45">
      <c r="A6" s="10">
        <v>3</v>
      </c>
      <c r="B6" s="19">
        <v>0.25</v>
      </c>
      <c r="C6" s="51">
        <v>0.25</v>
      </c>
      <c r="D6" s="57" t="s">
        <v>430</v>
      </c>
      <c r="F6" s="10">
        <v>3</v>
      </c>
      <c r="G6" s="36" t="s">
        <v>435</v>
      </c>
      <c r="H6" s="57" t="s">
        <v>432</v>
      </c>
      <c r="J6" s="10">
        <v>3</v>
      </c>
      <c r="K6" s="36" t="s">
        <v>463</v>
      </c>
      <c r="L6" s="36">
        <f>(0.2+0.166+0.072)/(0.1+0.77+0.006)</f>
        <v>0.5</v>
      </c>
      <c r="N6" s="10">
        <v>3</v>
      </c>
      <c r="O6" s="20">
        <v>0.25</v>
      </c>
      <c r="P6" s="20">
        <v>0.25</v>
      </c>
      <c r="Q6" s="20">
        <v>4</v>
      </c>
      <c r="R6" s="36" t="str">
        <f t="shared" si="0"/>
        <v>2*2*1</v>
      </c>
      <c r="S6" s="57" t="s">
        <v>430</v>
      </c>
      <c r="T6" s="24">
        <v>0.25</v>
      </c>
      <c r="V6" s="10">
        <v>3</v>
      </c>
      <c r="W6" s="36">
        <v>0.06</v>
      </c>
      <c r="X6" s="36" t="str">
        <f>Quebrado(0,6/GCD(6,100),100/GCD(6,100))</f>
        <v>3/50</v>
      </c>
      <c r="Z6" s="10">
        <v>3</v>
      </c>
      <c r="AA6" s="36" t="s">
        <v>488</v>
      </c>
      <c r="AB6" s="51" t="s">
        <v>490</v>
      </c>
      <c r="AC6" s="20">
        <v>0.66666666666666663</v>
      </c>
      <c r="AE6" s="10">
        <v>3</v>
      </c>
      <c r="AF6" s="36" t="s">
        <v>528</v>
      </c>
      <c r="AG6" s="51" t="s">
        <v>530</v>
      </c>
      <c r="AH6" s="20">
        <f>(98-9)/90</f>
        <v>0.98888888888888893</v>
      </c>
      <c r="AJ6" s="10">
        <v>3</v>
      </c>
      <c r="AK6" s="36" t="s">
        <v>571</v>
      </c>
      <c r="AL6" s="51" t="s">
        <v>572</v>
      </c>
      <c r="AM6" s="20" t="s">
        <v>572</v>
      </c>
      <c r="AO6" s="10">
        <v>3</v>
      </c>
      <c r="AP6" s="36" t="s">
        <v>645</v>
      </c>
      <c r="AQ6" s="19">
        <f>(15/99-1/33)+(9/99+1/3)</f>
        <v>0.54545454545454541</v>
      </c>
    </row>
    <row r="7" spans="1:45" ht="15.75" customHeight="1">
      <c r="A7" s="10">
        <v>4</v>
      </c>
      <c r="B7" s="19">
        <v>0.2</v>
      </c>
      <c r="C7" s="51">
        <v>0.2</v>
      </c>
      <c r="D7" s="57" t="s">
        <v>430</v>
      </c>
      <c r="F7" s="10">
        <v>4</v>
      </c>
      <c r="G7" s="36" t="s">
        <v>436</v>
      </c>
      <c r="H7" s="58" t="s">
        <v>431</v>
      </c>
      <c r="J7" s="10">
        <v>4</v>
      </c>
      <c r="K7" s="36" t="s">
        <v>469</v>
      </c>
      <c r="L7" s="59">
        <f>((0.35+0.02)+(0.75+0.18))/((0.8+0.7)+3.7)</f>
        <v>0.24999999999999994</v>
      </c>
      <c r="N7" s="10">
        <v>4</v>
      </c>
      <c r="O7" s="20">
        <v>0.2</v>
      </c>
      <c r="P7" s="20">
        <v>0.2</v>
      </c>
      <c r="Q7" s="20">
        <v>5</v>
      </c>
      <c r="R7" s="36" t="str">
        <f t="shared" si="0"/>
        <v>5*1</v>
      </c>
      <c r="S7" s="57" t="s">
        <v>430</v>
      </c>
      <c r="T7" s="17">
        <v>0.2</v>
      </c>
      <c r="V7" s="10">
        <v>4</v>
      </c>
      <c r="W7" s="36">
        <v>7.0000000000000001E-3</v>
      </c>
      <c r="X7" s="36" t="str">
        <f>Quebrado(0,7/GCD(7,1000),1000/GCD(7,1000))</f>
        <v>7/1000</v>
      </c>
      <c r="Z7" s="10">
        <v>4</v>
      </c>
      <c r="AA7" s="36" t="s">
        <v>491</v>
      </c>
      <c r="AB7" s="51" t="s">
        <v>493</v>
      </c>
      <c r="AC7" s="20">
        <v>0.12121212121212122</v>
      </c>
      <c r="AE7" s="10">
        <v>4</v>
      </c>
      <c r="AF7" s="36" t="s">
        <v>532</v>
      </c>
      <c r="AG7" s="51" t="s">
        <v>531</v>
      </c>
      <c r="AH7" s="20">
        <f>(13-1)/90</f>
        <v>0.13333333333333333</v>
      </c>
      <c r="AJ7" s="10">
        <v>4</v>
      </c>
      <c r="AK7" s="36" t="s">
        <v>573</v>
      </c>
      <c r="AL7" s="51" t="s">
        <v>574</v>
      </c>
      <c r="AM7" s="20">
        <v>0.36363636363636365</v>
      </c>
      <c r="AO7" s="10">
        <v>4</v>
      </c>
      <c r="AP7" s="36" t="s">
        <v>650</v>
      </c>
      <c r="AQ7" s="10">
        <f>(1/4+0.04+1/5)*(3/100)</f>
        <v>1.47E-2</v>
      </c>
      <c r="AR7" s="10" t="s">
        <v>651</v>
      </c>
    </row>
    <row r="8" spans="1:45">
      <c r="A8" s="10">
        <v>5</v>
      </c>
      <c r="B8" s="19">
        <v>0.16666666666666666</v>
      </c>
      <c r="C8" s="51" t="s">
        <v>450</v>
      </c>
      <c r="D8" s="57" t="s">
        <v>432</v>
      </c>
      <c r="F8" s="10">
        <v>5</v>
      </c>
      <c r="G8" s="36">
        <v>5.0000000000000001E-3</v>
      </c>
      <c r="H8" s="57" t="s">
        <v>430</v>
      </c>
      <c r="J8" s="10">
        <v>5</v>
      </c>
      <c r="K8" s="36" t="s">
        <v>465</v>
      </c>
      <c r="L8" s="36">
        <f>((0.18+1.76-0.002)/0.002)/((0.125+0.108+0.09)/0.001)</f>
        <v>3.0000000000000004</v>
      </c>
      <c r="N8" s="10">
        <v>5</v>
      </c>
      <c r="O8" s="20">
        <v>0.16666666666666666</v>
      </c>
      <c r="P8" s="20">
        <v>0.16666666666666666</v>
      </c>
      <c r="Q8" s="20">
        <v>6</v>
      </c>
      <c r="R8" s="36" t="str">
        <f t="shared" si="0"/>
        <v>3*2*1</v>
      </c>
      <c r="S8" s="57" t="s">
        <v>432</v>
      </c>
      <c r="T8" s="60">
        <v>0.16666666666666666</v>
      </c>
      <c r="V8" s="10">
        <v>5</v>
      </c>
      <c r="W8" s="36">
        <v>8.0000000000000004E-4</v>
      </c>
      <c r="X8" s="36" t="str">
        <f>Quebrado(0,8/GCD(8,10000),10000/GCD(8,10000))</f>
        <v>1/1250</v>
      </c>
      <c r="Z8" s="10">
        <v>5</v>
      </c>
      <c r="AA8" s="36" t="s">
        <v>492</v>
      </c>
      <c r="AB8" s="51" t="s">
        <v>495</v>
      </c>
      <c r="AC8" s="20">
        <v>0.15151515151515152</v>
      </c>
      <c r="AE8" s="10">
        <v>5</v>
      </c>
      <c r="AF8" s="36" t="s">
        <v>533</v>
      </c>
      <c r="AG8" s="51" t="s">
        <v>547</v>
      </c>
      <c r="AH8" s="20">
        <f>(665-66)/900</f>
        <v>0.66555555555555557</v>
      </c>
      <c r="AJ8" s="10">
        <v>5</v>
      </c>
      <c r="AK8" s="36" t="s">
        <v>575</v>
      </c>
      <c r="AL8" s="51" t="s">
        <v>576</v>
      </c>
      <c r="AM8" s="20">
        <f>(54-5)/90</f>
        <v>0.5444444444444444</v>
      </c>
      <c r="AO8" s="10">
        <v>5</v>
      </c>
      <c r="AP8" s="36" t="s">
        <v>655</v>
      </c>
      <c r="AQ8" s="19">
        <f>(5/90+(5/6)-(1/9))/(3.16666666666667)</f>
        <v>0.24561403508771906</v>
      </c>
    </row>
    <row r="9" spans="1:45" ht="12.75" customHeight="1">
      <c r="A9" s="10">
        <v>6</v>
      </c>
      <c r="B9" s="19">
        <v>0.14285714285714285</v>
      </c>
      <c r="C9" s="49" t="s">
        <v>458</v>
      </c>
      <c r="D9" s="58" t="s">
        <v>431</v>
      </c>
      <c r="F9" s="10">
        <v>6</v>
      </c>
      <c r="G9" s="36" t="s">
        <v>437</v>
      </c>
      <c r="H9" s="58" t="s">
        <v>431</v>
      </c>
      <c r="J9" s="10">
        <v>6</v>
      </c>
      <c r="K9" s="36" t="s">
        <v>466</v>
      </c>
      <c r="L9" s="59">
        <f>(0.0625/0.5+0.05/0.4)/(0.04/0.04+0.02/0.02)</f>
        <v>0.125</v>
      </c>
      <c r="N9" s="10">
        <v>6</v>
      </c>
      <c r="O9" s="20">
        <v>0.14285714285714285</v>
      </c>
      <c r="P9" s="20">
        <v>0.14285714285714285</v>
      </c>
      <c r="Q9" s="20">
        <v>7</v>
      </c>
      <c r="R9" s="36" t="str">
        <f t="shared" si="0"/>
        <v>7*1</v>
      </c>
      <c r="S9" s="58" t="s">
        <v>431</v>
      </c>
      <c r="T9" s="60">
        <v>0.14285714285714285</v>
      </c>
      <c r="V9" s="10">
        <v>6</v>
      </c>
      <c r="W9" s="36">
        <v>9.0000000000000006E-5</v>
      </c>
      <c r="X9" s="36" t="str">
        <f>Quebrado(0,9/GCD(9,100000),100000/GCD(9,10000))</f>
        <v>9/100000</v>
      </c>
      <c r="Z9" s="10">
        <v>6</v>
      </c>
      <c r="AA9" s="36" t="s">
        <v>496</v>
      </c>
      <c r="AB9" s="51" t="s">
        <v>502</v>
      </c>
      <c r="AC9" s="20">
        <v>0.18181818181818182</v>
      </c>
      <c r="AE9" s="10">
        <v>6</v>
      </c>
      <c r="AF9" s="36" t="s">
        <v>534</v>
      </c>
      <c r="AG9" s="51" t="s">
        <v>548</v>
      </c>
      <c r="AH9" s="20">
        <f>(124-12)/900</f>
        <v>0.12444444444444444</v>
      </c>
      <c r="AJ9" s="10">
        <v>6</v>
      </c>
      <c r="AK9" s="36">
        <v>0.32</v>
      </c>
      <c r="AL9" s="51" t="s">
        <v>577</v>
      </c>
      <c r="AM9" s="20">
        <v>0.32</v>
      </c>
      <c r="AO9" s="10">
        <v>6</v>
      </c>
      <c r="AP9" s="36" t="s">
        <v>646</v>
      </c>
      <c r="AQ9" s="19">
        <f>(1/4)/(55/100)+1/9+(56/99)</f>
        <v>1.1313131313131313</v>
      </c>
    </row>
    <row r="10" spans="1:45">
      <c r="A10" s="10">
        <v>7</v>
      </c>
      <c r="B10" s="19">
        <v>0.125</v>
      </c>
      <c r="C10" s="51">
        <v>0.125</v>
      </c>
      <c r="D10" s="57" t="s">
        <v>430</v>
      </c>
      <c r="F10" s="10">
        <v>7</v>
      </c>
      <c r="G10" s="36" t="s">
        <v>438</v>
      </c>
      <c r="H10" s="57" t="s">
        <v>432</v>
      </c>
      <c r="J10" s="10">
        <v>7</v>
      </c>
      <c r="K10" s="36" t="s">
        <v>467</v>
      </c>
      <c r="L10" s="36">
        <f>((3.5-2.125+0.16)*1.5)/((1.75+1.6-1.1)+0.0525)</f>
        <v>0.99999999999999978</v>
      </c>
      <c r="N10" s="10">
        <v>7</v>
      </c>
      <c r="O10" s="20">
        <v>0.125</v>
      </c>
      <c r="P10" s="20">
        <v>0.125</v>
      </c>
      <c r="Q10" s="20">
        <v>8</v>
      </c>
      <c r="R10" s="36" t="str">
        <f t="shared" si="0"/>
        <v>2*2*2*1</v>
      </c>
      <c r="S10" s="57" t="s">
        <v>430</v>
      </c>
      <c r="T10" s="22">
        <v>0.125</v>
      </c>
      <c r="V10" s="10">
        <v>7</v>
      </c>
      <c r="W10" s="36">
        <v>3.9999999999999998E-6</v>
      </c>
      <c r="X10" s="36" t="str">
        <f>Quebrado(0,4/GCD(4,1000000),1000000/GCD(4,1000000))</f>
        <v>1/250000</v>
      </c>
      <c r="Z10" s="10">
        <v>7</v>
      </c>
      <c r="AA10" s="36" t="s">
        <v>497</v>
      </c>
      <c r="AB10" s="51" t="s">
        <v>503</v>
      </c>
      <c r="AC10" s="20">
        <v>0.20202020202020202</v>
      </c>
      <c r="AE10" s="10">
        <v>7</v>
      </c>
      <c r="AF10" s="36" t="s">
        <v>535</v>
      </c>
      <c r="AG10" s="51" t="s">
        <v>549</v>
      </c>
      <c r="AH10" s="20">
        <f>(362-36)/900</f>
        <v>0.36222222222222222</v>
      </c>
      <c r="AJ10" s="10">
        <v>7</v>
      </c>
      <c r="AK10" s="36" t="s">
        <v>578</v>
      </c>
      <c r="AL10" s="51" t="s">
        <v>579</v>
      </c>
      <c r="AM10" s="20" t="str">
        <f>Quebrado(3,5,9)</f>
        <v>32/9</v>
      </c>
      <c r="AO10" s="10">
        <v>7</v>
      </c>
      <c r="AP10" s="36" t="s">
        <v>647</v>
      </c>
      <c r="AQ10" s="19">
        <f>((36/99+1/22+3/2)/(3/10))/(1/3)</f>
        <v>19.090909090909093</v>
      </c>
    </row>
    <row r="11" spans="1:45" ht="16">
      <c r="A11" s="10">
        <v>8</v>
      </c>
      <c r="B11" s="19">
        <v>0.1111111111111111</v>
      </c>
      <c r="C11" s="51" t="s">
        <v>451</v>
      </c>
      <c r="D11" s="58" t="s">
        <v>431</v>
      </c>
      <c r="F11" s="10">
        <v>8</v>
      </c>
      <c r="G11" s="36" t="s">
        <v>439</v>
      </c>
      <c r="H11" s="57" t="s">
        <v>432</v>
      </c>
      <c r="J11" s="10">
        <v>8</v>
      </c>
      <c r="K11" s="36" t="s">
        <v>468</v>
      </c>
      <c r="L11" s="36">
        <f>(0.4/0.1+0.6/0.2+0.8/0.4)/(0.16/0.08+0.64/0.16-0.15/0.05)</f>
        <v>2.9999999999999996</v>
      </c>
      <c r="N11" s="10">
        <v>8</v>
      </c>
      <c r="O11" s="20">
        <v>0.1111111111111111</v>
      </c>
      <c r="P11" s="20">
        <v>0.1111111111111111</v>
      </c>
      <c r="Q11" s="20">
        <v>9</v>
      </c>
      <c r="R11" s="36" t="str">
        <f t="shared" si="0"/>
        <v>3*3*1</v>
      </c>
      <c r="S11" s="58" t="s">
        <v>431</v>
      </c>
      <c r="T11" s="60">
        <v>0.1111111111111111</v>
      </c>
      <c r="V11" s="10">
        <v>8</v>
      </c>
      <c r="W11" s="36">
        <v>1.7999999999999999E-2</v>
      </c>
      <c r="X11" s="36" t="str">
        <f>Quebrado(0,18/GCD(18,1000),1000/GCD(18,1000))</f>
        <v>9/500</v>
      </c>
      <c r="Z11" s="10">
        <v>8</v>
      </c>
      <c r="AA11" s="36" t="s">
        <v>498</v>
      </c>
      <c r="AB11" s="51" t="s">
        <v>504</v>
      </c>
      <c r="AC11" s="20">
        <v>0.81818181818181823</v>
      </c>
      <c r="AE11" s="10">
        <v>8</v>
      </c>
      <c r="AF11" s="36" t="s">
        <v>536</v>
      </c>
      <c r="AG11" s="51" t="s">
        <v>550</v>
      </c>
      <c r="AH11" s="20">
        <f>(184-18)/900</f>
        <v>0.18444444444444444</v>
      </c>
      <c r="AJ11" s="10">
        <v>8</v>
      </c>
      <c r="AK11" s="36" t="s">
        <v>580</v>
      </c>
      <c r="AL11" s="51" t="s">
        <v>581</v>
      </c>
      <c r="AM11" s="20" t="str">
        <f>Quebrado(0,1422/GCD(1422,9900),9900/GCD(1422,9900))</f>
        <v>79/550</v>
      </c>
      <c r="AO11" s="10">
        <v>8</v>
      </c>
      <c r="AP11" s="36" t="s">
        <v>648</v>
      </c>
      <c r="AQ11" s="61">
        <f>((18/99-1/15)+(36/1000-1/500))/(1/2)</f>
        <v>0.29830303030303029</v>
      </c>
      <c r="AR11" s="10" t="s">
        <v>649</v>
      </c>
      <c r="AS11" s="10" t="str">
        <f>Quebrado(0,29532/GCD(29532,99000),99000/GCD(29532,99000))</f>
        <v>2461/8250</v>
      </c>
    </row>
    <row r="12" spans="1:45" ht="16">
      <c r="A12" s="10">
        <v>9</v>
      </c>
      <c r="B12" s="19">
        <v>0.4</v>
      </c>
      <c r="C12" s="51">
        <v>0.4</v>
      </c>
      <c r="D12" s="57" t="s">
        <v>430</v>
      </c>
      <c r="F12" s="10">
        <v>9</v>
      </c>
      <c r="G12" s="36">
        <v>7.6700000000000004E-2</v>
      </c>
      <c r="H12" s="57" t="s">
        <v>430</v>
      </c>
      <c r="J12" s="10">
        <v>9</v>
      </c>
      <c r="K12" s="36"/>
      <c r="L12" s="36"/>
      <c r="N12" s="10">
        <v>9</v>
      </c>
      <c r="O12" s="20">
        <v>0.1</v>
      </c>
      <c r="P12" s="20">
        <v>0.1</v>
      </c>
      <c r="Q12" s="20">
        <v>10</v>
      </c>
      <c r="R12" s="36" t="str">
        <f t="shared" si="0"/>
        <v>5*2*1</v>
      </c>
      <c r="S12" s="58" t="s">
        <v>430</v>
      </c>
      <c r="T12" s="17">
        <v>0.1</v>
      </c>
      <c r="V12" s="10">
        <v>9</v>
      </c>
      <c r="W12" s="36">
        <v>1.0036</v>
      </c>
      <c r="X12" s="36" t="str">
        <f>Quebrado(1,36/GCD(36,10000),10000/GCD(36,10000))</f>
        <v>2509/2500</v>
      </c>
      <c r="Z12" s="10">
        <v>9</v>
      </c>
      <c r="AA12" s="36" t="s">
        <v>499</v>
      </c>
      <c r="AB12" s="51" t="s">
        <v>505</v>
      </c>
      <c r="AC12" s="20">
        <v>0.12312312312312312</v>
      </c>
      <c r="AE12" s="10">
        <v>9</v>
      </c>
      <c r="AF12" s="36" t="s">
        <v>537</v>
      </c>
      <c r="AG12" s="51" t="s">
        <v>551</v>
      </c>
      <c r="AH12" s="20">
        <f>(236-23)/900</f>
        <v>0.23666666666666666</v>
      </c>
      <c r="AJ12" s="10">
        <v>9</v>
      </c>
      <c r="AK12" s="36" t="s">
        <v>583</v>
      </c>
      <c r="AL12" s="51" t="s">
        <v>582</v>
      </c>
      <c r="AM12" s="20" t="str">
        <f>Quebrado(0,156/GCD(156,900),900/GCD(156,900))</f>
        <v>13/75</v>
      </c>
      <c r="AO12" s="10">
        <v>9</v>
      </c>
      <c r="AP12" s="36" t="s">
        <v>652</v>
      </c>
      <c r="AQ12" s="19">
        <f>(22/90+1/3+2/9)*(5/4)/(3+153/999)</f>
        <v>0.31714285714285712</v>
      </c>
    </row>
    <row r="13" spans="1:45" ht="16">
      <c r="A13" s="10">
        <v>10</v>
      </c>
      <c r="B13" s="19">
        <v>0.6</v>
      </c>
      <c r="C13" s="51">
        <v>0.6</v>
      </c>
      <c r="D13" s="57" t="s">
        <v>430</v>
      </c>
      <c r="F13" s="10">
        <v>10</v>
      </c>
      <c r="G13" s="36" t="s">
        <v>459</v>
      </c>
      <c r="H13" s="57" t="s">
        <v>432</v>
      </c>
      <c r="J13" s="10">
        <v>10</v>
      </c>
      <c r="K13" s="36"/>
      <c r="L13" s="36"/>
      <c r="N13" s="10">
        <v>10</v>
      </c>
      <c r="O13" s="20">
        <v>9.0909090909090912E-2</v>
      </c>
      <c r="P13" s="20">
        <v>9.0909090909090912E-2</v>
      </c>
      <c r="Q13" s="20">
        <v>11</v>
      </c>
      <c r="R13" s="36" t="str">
        <f t="shared" si="0"/>
        <v>11*1</v>
      </c>
      <c r="S13" s="58" t="s">
        <v>431</v>
      </c>
      <c r="T13" s="60">
        <v>9.0909090909090912E-2</v>
      </c>
      <c r="V13" s="10">
        <v>10</v>
      </c>
      <c r="W13" s="36">
        <v>2.00048</v>
      </c>
      <c r="X13" s="36" t="str">
        <f>Quebrado(2,48/GCD(48,100000),100000/GCD(48,10000))</f>
        <v>12503/6250</v>
      </c>
      <c r="Z13" s="10">
        <v>10</v>
      </c>
      <c r="AA13" s="36" t="s">
        <v>500</v>
      </c>
      <c r="AB13" s="51" t="s">
        <v>506</v>
      </c>
      <c r="AC13" s="20">
        <v>0.15615615615615616</v>
      </c>
      <c r="AE13" s="10">
        <v>10</v>
      </c>
      <c r="AF13" s="36" t="s">
        <v>552</v>
      </c>
      <c r="AG13" s="51" t="s">
        <v>553</v>
      </c>
      <c r="AH13" s="20">
        <f>(519-5)/990</f>
        <v>0.5191919191919192</v>
      </c>
      <c r="AJ13" s="10">
        <v>10</v>
      </c>
      <c r="AK13" s="36">
        <v>0.14599999999999999</v>
      </c>
      <c r="AL13" s="51" t="s">
        <v>566</v>
      </c>
      <c r="AM13" s="20">
        <v>0.14599999999999999</v>
      </c>
      <c r="AO13" s="10">
        <v>10</v>
      </c>
      <c r="AP13" s="36" t="s">
        <v>653</v>
      </c>
      <c r="AQ13" s="19">
        <f>((18/100)/(6/10)+(15/99)/(10/99)-1/15)/(18/990)</f>
        <v>95.333333333333343</v>
      </c>
    </row>
    <row r="14" spans="1:45" ht="15" customHeight="1">
      <c r="A14" s="10">
        <v>11</v>
      </c>
      <c r="B14" s="19">
        <v>0.66666666666666663</v>
      </c>
      <c r="C14" s="51" t="s">
        <v>452</v>
      </c>
      <c r="D14" s="58" t="s">
        <v>431</v>
      </c>
      <c r="F14" s="10">
        <v>11</v>
      </c>
      <c r="G14" s="36" t="s">
        <v>460</v>
      </c>
      <c r="H14" s="58" t="s">
        <v>431</v>
      </c>
      <c r="J14" s="10">
        <v>11</v>
      </c>
      <c r="K14" s="36"/>
      <c r="L14" s="59"/>
      <c r="N14" s="10">
        <v>11</v>
      </c>
      <c r="O14" s="20">
        <v>8.3333333333333329E-2</v>
      </c>
      <c r="P14" s="20">
        <v>8.3333333333333329E-2</v>
      </c>
      <c r="Q14" s="20">
        <v>12</v>
      </c>
      <c r="R14" s="36" t="str">
        <f t="shared" si="0"/>
        <v>3*2*2*1</v>
      </c>
      <c r="S14" s="57" t="s">
        <v>432</v>
      </c>
      <c r="T14" s="60">
        <v>8.3333333333333329E-2</v>
      </c>
      <c r="V14" s="10">
        <v>11</v>
      </c>
      <c r="W14" s="36">
        <v>3.0000580000000001</v>
      </c>
      <c r="X14" s="36" t="str">
        <f>Quebrado(3,58/GCD(58,1000000),1000000/GCD(58,10000))</f>
        <v>1500029/500000</v>
      </c>
      <c r="Z14" s="10">
        <v>11</v>
      </c>
      <c r="AA14" s="36" t="s">
        <v>501</v>
      </c>
      <c r="AB14" s="51" t="s">
        <v>507</v>
      </c>
      <c r="AC14" s="20">
        <v>0.14314314314314314</v>
      </c>
      <c r="AE14" s="10">
        <v>11</v>
      </c>
      <c r="AF14" s="36" t="s">
        <v>554</v>
      </c>
      <c r="AG14" s="51" t="s">
        <v>563</v>
      </c>
      <c r="AH14" s="20" t="str">
        <f>Quebrado(0,122/GCD(122,9900),9900/GCD(122,9900))</f>
        <v>61/4950</v>
      </c>
      <c r="AJ14" s="10">
        <v>11</v>
      </c>
      <c r="AK14" s="36" t="s">
        <v>584</v>
      </c>
      <c r="AL14" s="51" t="s">
        <v>585</v>
      </c>
      <c r="AM14" s="20" t="str">
        <f>Quebrado(0,54/GCD(54,9999),9999/GCD(54,9999))</f>
        <v>6/1111</v>
      </c>
      <c r="AO14" s="10">
        <v>11</v>
      </c>
      <c r="AP14" s="36" t="s">
        <v>654</v>
      </c>
      <c r="AQ14" s="19">
        <f>((32/10)-(2.11111111111111)+(3.06666666666667))/((22/10)-(1.16666666666667)+(2.03333333333333))</f>
        <v>1.3550724637681204</v>
      </c>
    </row>
    <row r="15" spans="1:45">
      <c r="A15" s="10">
        <v>12</v>
      </c>
      <c r="B15" s="19">
        <v>0.8</v>
      </c>
      <c r="C15" s="51">
        <v>0.8</v>
      </c>
      <c r="D15" s="57" t="s">
        <v>430</v>
      </c>
      <c r="F15" s="10">
        <v>12</v>
      </c>
      <c r="G15" s="36">
        <v>3.0300000000000001E-3</v>
      </c>
      <c r="H15" s="57" t="s">
        <v>430</v>
      </c>
      <c r="J15" s="10">
        <v>12</v>
      </c>
      <c r="K15" s="36"/>
      <c r="L15" s="36"/>
      <c r="N15" s="10">
        <v>12</v>
      </c>
      <c r="O15" s="20">
        <v>6.6666666666666666E-2</v>
      </c>
      <c r="P15" s="20">
        <v>6.6666666666666666E-2</v>
      </c>
      <c r="Q15" s="20">
        <v>15</v>
      </c>
      <c r="R15" s="36" t="str">
        <f t="shared" si="0"/>
        <v>5*3*1</v>
      </c>
      <c r="S15" s="57" t="s">
        <v>432</v>
      </c>
      <c r="T15" s="60">
        <v>6.6666666666666666E-2</v>
      </c>
      <c r="V15" s="10">
        <v>12</v>
      </c>
      <c r="W15" s="36">
        <v>4.0012400000000001</v>
      </c>
      <c r="X15" s="36" t="str">
        <f>Quebrado(4,124/GCD(124,100000),100000/GCD(124,100000))</f>
        <v>100031/25000</v>
      </c>
      <c r="Z15" s="10">
        <v>12</v>
      </c>
      <c r="AA15" s="36" t="s">
        <v>508</v>
      </c>
      <c r="AB15" s="51" t="s">
        <v>509</v>
      </c>
      <c r="AC15" s="20" t="str">
        <f>Quebrado(0,1896/GCD(1896,9999),9999/GCD(1896,9999))</f>
        <v>632/3333</v>
      </c>
      <c r="AE15" s="10">
        <v>12</v>
      </c>
      <c r="AF15" s="36" t="s">
        <v>538</v>
      </c>
      <c r="AG15" s="51" t="s">
        <v>564</v>
      </c>
      <c r="AH15" s="20" t="str">
        <f>Quebrado(0,117/GCD(117,99000),99000/GCD(117,99000))</f>
        <v>13/11000</v>
      </c>
      <c r="AJ15" s="10">
        <v>12</v>
      </c>
      <c r="AK15" s="36" t="s">
        <v>586</v>
      </c>
      <c r="AL15" s="51" t="s">
        <v>587</v>
      </c>
      <c r="AM15" s="20" t="str">
        <f>Quebrado(0,18429/GCD(18429,99000),99000/GCD(18429,99000))</f>
        <v>6143/33000</v>
      </c>
    </row>
    <row r="16" spans="1:45" ht="15" customHeight="1">
      <c r="A16" s="10">
        <v>13</v>
      </c>
      <c r="B16" s="19">
        <v>0.41666666666666669</v>
      </c>
      <c r="C16" s="51" t="s">
        <v>453</v>
      </c>
      <c r="D16" s="57" t="s">
        <v>432</v>
      </c>
      <c r="F16" s="10">
        <v>13</v>
      </c>
      <c r="G16" s="36" t="s">
        <v>448</v>
      </c>
      <c r="H16" s="58" t="s">
        <v>431</v>
      </c>
      <c r="J16" s="10">
        <v>13</v>
      </c>
      <c r="K16" s="36"/>
      <c r="L16" s="59"/>
      <c r="N16" s="10">
        <v>13</v>
      </c>
      <c r="O16" s="20">
        <v>0.18181818181818182</v>
      </c>
      <c r="P16" s="20">
        <v>0.18181818181818182</v>
      </c>
      <c r="Q16" s="20">
        <v>11</v>
      </c>
      <c r="R16" s="36" t="str">
        <f t="shared" si="0"/>
        <v>11*1</v>
      </c>
      <c r="S16" s="58" t="s">
        <v>431</v>
      </c>
      <c r="T16" s="60">
        <v>0.18181818181818182</v>
      </c>
      <c r="V16" s="10">
        <v>13</v>
      </c>
      <c r="W16" s="36">
        <v>3.2149999999999998E-2</v>
      </c>
      <c r="X16" s="36" t="str">
        <f>Quebrado(0,3215/GCD(3215,100000),100000/GCD(3215,10000))</f>
        <v>643/20000</v>
      </c>
      <c r="Z16" s="10">
        <v>13</v>
      </c>
      <c r="AA16" s="36" t="s">
        <v>455</v>
      </c>
      <c r="AB16" s="51" t="s">
        <v>510</v>
      </c>
      <c r="AC16" s="20">
        <v>3.003003003003003E-3</v>
      </c>
      <c r="AE16" s="10">
        <v>13</v>
      </c>
      <c r="AF16" s="36" t="s">
        <v>539</v>
      </c>
      <c r="AG16" s="51" t="s">
        <v>555</v>
      </c>
      <c r="AH16" s="20" t="str">
        <f>Quebrado(0,124232/GCD(124232,999000),999000/GCD(124232,999000))</f>
        <v>15529/124875</v>
      </c>
      <c r="AJ16" s="10">
        <v>13</v>
      </c>
      <c r="AK16" s="36">
        <v>0.02</v>
      </c>
      <c r="AL16" s="51" t="s">
        <v>567</v>
      </c>
      <c r="AM16" s="20">
        <v>0.02</v>
      </c>
    </row>
    <row r="17" spans="1:39" ht="16">
      <c r="A17" s="10">
        <v>14</v>
      </c>
      <c r="B17" s="19">
        <v>0.63636363636363635</v>
      </c>
      <c r="C17" s="51" t="s">
        <v>454</v>
      </c>
      <c r="D17" s="58" t="s">
        <v>431</v>
      </c>
      <c r="F17" s="10">
        <v>14</v>
      </c>
      <c r="G17" s="36" t="s">
        <v>447</v>
      </c>
      <c r="H17" s="57" t="s">
        <v>432</v>
      </c>
      <c r="J17" s="10">
        <v>14</v>
      </c>
      <c r="K17" s="36"/>
      <c r="L17" s="36"/>
      <c r="N17" s="10">
        <v>14</v>
      </c>
      <c r="O17" s="20">
        <v>0.23076923076923078</v>
      </c>
      <c r="P17" s="20">
        <v>0.23076923076923078</v>
      </c>
      <c r="Q17" s="20">
        <v>13</v>
      </c>
      <c r="R17" s="36" t="str">
        <f t="shared" si="0"/>
        <v>13*1</v>
      </c>
      <c r="S17" s="58" t="s">
        <v>431</v>
      </c>
      <c r="T17" s="60">
        <v>0.23076923076923078</v>
      </c>
      <c r="V17" s="10">
        <v>14</v>
      </c>
      <c r="W17" s="36">
        <v>0.19800000000000001</v>
      </c>
      <c r="X17" s="36" t="str">
        <f>Quebrado(0,198/GCD(198,1000),1000/GCD(198,1000))</f>
        <v>99/500</v>
      </c>
      <c r="Z17" s="10">
        <v>14</v>
      </c>
      <c r="AA17" s="36" t="s">
        <v>511</v>
      </c>
      <c r="AB17" s="51" t="s">
        <v>512</v>
      </c>
      <c r="AC17" s="20" t="str">
        <f>Quebrado(1,5,99)</f>
        <v>104/99</v>
      </c>
      <c r="AE17" s="10">
        <v>14</v>
      </c>
      <c r="AF17" s="36" t="s">
        <v>540</v>
      </c>
      <c r="AG17" s="51" t="s">
        <v>562</v>
      </c>
      <c r="AH17" s="20" t="str">
        <f>Quebrado(0,450750/GCD(450750,999000),999000/GCD(450750,999000))</f>
        <v>601/1332</v>
      </c>
      <c r="AJ17" s="10">
        <v>14</v>
      </c>
      <c r="AK17" s="36">
        <v>3.5999999999999999E-3</v>
      </c>
      <c r="AL17" s="51" t="s">
        <v>568</v>
      </c>
      <c r="AM17" s="20" t="str">
        <f>Quebrado(0,36/GCD(36,10000),10000/GCD(36,10000))</f>
        <v>9/2500</v>
      </c>
    </row>
    <row r="18" spans="1:39" ht="16">
      <c r="A18" s="10">
        <v>15</v>
      </c>
      <c r="B18" s="51" t="s">
        <v>427</v>
      </c>
      <c r="C18" s="51">
        <v>0.25</v>
      </c>
      <c r="D18" s="57" t="s">
        <v>430</v>
      </c>
      <c r="F18" s="10">
        <v>15</v>
      </c>
      <c r="G18" s="36" t="s">
        <v>445</v>
      </c>
      <c r="H18" s="57" t="s">
        <v>443</v>
      </c>
      <c r="J18" s="10">
        <v>15</v>
      </c>
      <c r="K18" s="36"/>
      <c r="L18" s="36"/>
      <c r="N18" s="10">
        <v>15</v>
      </c>
      <c r="O18" s="20">
        <v>0.29411764705882354</v>
      </c>
      <c r="P18" s="20">
        <v>0.29411764705882354</v>
      </c>
      <c r="Q18" s="20">
        <v>17</v>
      </c>
      <c r="R18" s="36" t="str">
        <f t="shared" si="0"/>
        <v>17*1</v>
      </c>
      <c r="S18" s="58" t="s">
        <v>431</v>
      </c>
      <c r="T18" s="60">
        <v>0.29411764705882354</v>
      </c>
      <c r="V18" s="10">
        <v>15</v>
      </c>
      <c r="W18" s="36">
        <v>0.35460000000000003</v>
      </c>
      <c r="X18" s="36" t="str">
        <f>Quebrado(0,3546/GCD(3546,10000),10000/GCD(3546,10000))</f>
        <v>1773/5000</v>
      </c>
      <c r="Z18" s="10">
        <v>15</v>
      </c>
      <c r="AA18" s="36" t="s">
        <v>513</v>
      </c>
      <c r="AB18" s="51" t="s">
        <v>514</v>
      </c>
      <c r="AC18" s="20" t="str">
        <f>Quebrado(1,72/GCD(72,99),99/GCD(72,99))</f>
        <v>19/11</v>
      </c>
      <c r="AE18" s="10">
        <v>15</v>
      </c>
      <c r="AF18" s="36" t="s">
        <v>541</v>
      </c>
      <c r="AG18" s="51" t="s">
        <v>557</v>
      </c>
      <c r="AH18" s="20" t="str">
        <f>Quebrado(1,3/GCD(3,90),90/GCD(3,90))</f>
        <v>31/30</v>
      </c>
      <c r="AJ18" s="10">
        <v>15</v>
      </c>
      <c r="AK18" s="36" t="s">
        <v>588</v>
      </c>
      <c r="AL18" s="51" t="s">
        <v>589</v>
      </c>
      <c r="AM18" s="20">
        <v>0.14414414414414414</v>
      </c>
    </row>
    <row r="19" spans="1:39">
      <c r="A19" s="10">
        <v>16</v>
      </c>
      <c r="B19" s="51" t="s">
        <v>428</v>
      </c>
      <c r="C19" s="51">
        <v>0.75</v>
      </c>
      <c r="D19" s="57" t="s">
        <v>430</v>
      </c>
      <c r="F19" s="10">
        <v>16</v>
      </c>
      <c r="G19" s="36" t="s">
        <v>444</v>
      </c>
      <c r="H19" s="57" t="s">
        <v>432</v>
      </c>
      <c r="J19" s="10">
        <v>16</v>
      </c>
      <c r="K19" s="36"/>
      <c r="L19" s="36"/>
      <c r="N19" s="10">
        <v>16</v>
      </c>
      <c r="O19" s="20">
        <v>0.12727272727272726</v>
      </c>
      <c r="P19" s="20">
        <v>0.12727272727272726</v>
      </c>
      <c r="Q19" s="20">
        <v>55</v>
      </c>
      <c r="R19" s="36" t="str">
        <f t="shared" si="0"/>
        <v>11*5*1</v>
      </c>
      <c r="S19" s="57" t="s">
        <v>432</v>
      </c>
      <c r="T19" s="60">
        <v>0.12727272727272726</v>
      </c>
      <c r="V19" s="10">
        <v>16</v>
      </c>
      <c r="W19" s="36">
        <v>0.72865000000000002</v>
      </c>
      <c r="X19" s="36" t="str">
        <f>Quebrado(0,72865/GCD(72865,100000),100000/GCD(72865,10000))</f>
        <v>14573/20000</v>
      </c>
      <c r="Z19" s="10">
        <v>16</v>
      </c>
      <c r="AA19" s="36" t="s">
        <v>515</v>
      </c>
      <c r="AB19" s="51" t="s">
        <v>516</v>
      </c>
      <c r="AC19" s="20" t="str">
        <f>Quebrado(2,9/GCD(9,999),999/GCD(9,999))</f>
        <v>223/111</v>
      </c>
      <c r="AE19" s="10">
        <v>16</v>
      </c>
      <c r="AF19" s="36" t="s">
        <v>542</v>
      </c>
      <c r="AG19" s="51" t="s">
        <v>556</v>
      </c>
      <c r="AH19" s="20" t="str">
        <f>Quebrado(1,69/GCD(69,90),90/GCD(69,90))</f>
        <v>53/30</v>
      </c>
      <c r="AJ19" s="10">
        <v>16</v>
      </c>
      <c r="AK19" s="36" t="s">
        <v>590</v>
      </c>
      <c r="AL19" s="51" t="s">
        <v>591</v>
      </c>
      <c r="AM19" s="20" t="str">
        <f>Quebrado(0,7885/GCD(7885,9000),9000/GCD(7885,9000))</f>
        <v>1577/1800</v>
      </c>
    </row>
    <row r="20" spans="1:39">
      <c r="A20" s="10">
        <v>17</v>
      </c>
      <c r="B20" s="19">
        <v>2E-3</v>
      </c>
      <c r="C20" s="51">
        <v>2E-3</v>
      </c>
      <c r="D20" s="57" t="s">
        <v>430</v>
      </c>
      <c r="F20" s="10">
        <v>17</v>
      </c>
      <c r="G20" s="36" t="s">
        <v>446</v>
      </c>
      <c r="H20" s="57" t="s">
        <v>432</v>
      </c>
      <c r="J20" s="10">
        <v>17</v>
      </c>
      <c r="K20" s="36"/>
      <c r="L20" s="36"/>
      <c r="N20" s="10">
        <v>17</v>
      </c>
      <c r="O20" s="20">
        <v>0.36666666666666664</v>
      </c>
      <c r="P20" s="20">
        <v>0.36666666666666664</v>
      </c>
      <c r="Q20" s="20">
        <v>30</v>
      </c>
      <c r="R20" s="36" t="str">
        <f t="shared" si="0"/>
        <v>5*3*2*1</v>
      </c>
      <c r="S20" s="57" t="s">
        <v>432</v>
      </c>
      <c r="T20" s="60">
        <v>0.36666666666666664</v>
      </c>
      <c r="V20" s="10">
        <v>17</v>
      </c>
      <c r="W20" s="36">
        <v>1.1859999999999999</v>
      </c>
      <c r="X20" s="36" t="str">
        <f>Quebrado(1,186/GCD(186,1000),1000/GCD(186,1000))</f>
        <v>593/500</v>
      </c>
      <c r="Z20" s="10">
        <v>17</v>
      </c>
      <c r="AA20" s="36" t="s">
        <v>517</v>
      </c>
      <c r="AB20" s="51" t="s">
        <v>518</v>
      </c>
      <c r="AC20" s="20" t="str">
        <f>Quebrado(3,45/GCD(45,9999),9999/GCD(45,9999))</f>
        <v>3338/1111</v>
      </c>
      <c r="AE20" s="10">
        <v>17</v>
      </c>
      <c r="AF20" s="36" t="s">
        <v>543</v>
      </c>
      <c r="AG20" s="51" t="s">
        <v>558</v>
      </c>
      <c r="AH20" s="20" t="str">
        <f>Quebrado(1,312/GCD(312,9900),9900/GCD(312,9900))</f>
        <v>851/825</v>
      </c>
      <c r="AJ20" s="10">
        <v>17</v>
      </c>
      <c r="AK20" s="36" t="s">
        <v>592</v>
      </c>
      <c r="AL20" s="51" t="s">
        <v>593</v>
      </c>
      <c r="AM20" s="20" t="str">
        <f>Quebrado(0,15154/GCD(15154,99900),99900/GCD(15154,99900))</f>
        <v>7577/49950</v>
      </c>
    </row>
    <row r="21" spans="1:39">
      <c r="A21" s="10">
        <v>18</v>
      </c>
      <c r="B21" s="19">
        <v>3.003003003003003E-3</v>
      </c>
      <c r="C21" s="51" t="s">
        <v>455</v>
      </c>
      <c r="D21" s="57" t="s">
        <v>431</v>
      </c>
      <c r="F21" s="10">
        <v>18</v>
      </c>
      <c r="G21" s="36" t="s">
        <v>442</v>
      </c>
      <c r="H21" s="57" t="s">
        <v>443</v>
      </c>
      <c r="J21" s="10">
        <v>18</v>
      </c>
      <c r="K21" s="36"/>
      <c r="L21" s="36"/>
      <c r="N21" s="10">
        <v>18</v>
      </c>
      <c r="O21" s="20">
        <v>0.35714285714285715</v>
      </c>
      <c r="P21" s="20">
        <v>0.35714285714285715</v>
      </c>
      <c r="Q21" s="20">
        <v>14</v>
      </c>
      <c r="R21" s="36" t="str">
        <f t="shared" si="0"/>
        <v>7*2*1</v>
      </c>
      <c r="S21" s="57" t="s">
        <v>432</v>
      </c>
      <c r="T21" s="60">
        <v>0.35714285714285715</v>
      </c>
      <c r="V21" s="10">
        <v>18</v>
      </c>
      <c r="W21" s="36">
        <v>3.004</v>
      </c>
      <c r="X21" s="36" t="str">
        <f>Quebrado(3,4/GCD(4,1000),1000/GCD(4,1000))</f>
        <v>751/250</v>
      </c>
      <c r="Z21" s="10">
        <v>18</v>
      </c>
      <c r="AA21" s="36" t="s">
        <v>519</v>
      </c>
      <c r="AB21" s="51" t="s">
        <v>520</v>
      </c>
      <c r="AC21" s="20" t="str">
        <f>Quebrado(4,186/GCD(186,999),999/GCD(186,999))</f>
        <v>1394/333</v>
      </c>
      <c r="AE21" s="10">
        <v>18</v>
      </c>
      <c r="AF21" s="36" t="s">
        <v>544</v>
      </c>
      <c r="AG21" s="51" t="s">
        <v>559</v>
      </c>
      <c r="AH21" s="20" t="str">
        <f>Quebrado(2,144/GCD(144,9900),9900/GCD(144,9900))</f>
        <v>554/275</v>
      </c>
      <c r="AJ21" s="10">
        <v>18</v>
      </c>
      <c r="AK21" s="36">
        <v>5.64E-3</v>
      </c>
      <c r="AL21" s="51" t="s">
        <v>594</v>
      </c>
      <c r="AM21" s="20" t="str">
        <f>Quebrado(0,564/GCD(564,100000),100000/GCD(564,100000))</f>
        <v>141/25000</v>
      </c>
    </row>
    <row r="22" spans="1:39" ht="16">
      <c r="A22" s="10">
        <v>19</v>
      </c>
      <c r="B22" s="51" t="s">
        <v>429</v>
      </c>
      <c r="C22" s="51" t="s">
        <v>456</v>
      </c>
      <c r="D22" s="57" t="s">
        <v>431</v>
      </c>
      <c r="F22" s="10">
        <v>19</v>
      </c>
      <c r="G22" s="36" t="s">
        <v>441</v>
      </c>
      <c r="H22" s="57" t="s">
        <v>443</v>
      </c>
      <c r="J22" s="10">
        <v>19</v>
      </c>
      <c r="K22" s="36"/>
      <c r="L22" s="36"/>
      <c r="N22" s="10">
        <v>19</v>
      </c>
      <c r="O22" s="20">
        <v>0.10743801652892562</v>
      </c>
      <c r="P22" s="20">
        <v>0.10743801652892562</v>
      </c>
      <c r="Q22" s="20">
        <v>121</v>
      </c>
      <c r="R22" s="36" t="str">
        <f t="shared" si="0"/>
        <v>11*11*1</v>
      </c>
      <c r="S22" s="58" t="s">
        <v>431</v>
      </c>
      <c r="T22" s="60">
        <v>0.10743801652892562</v>
      </c>
      <c r="V22" s="10">
        <v>19</v>
      </c>
      <c r="W22" s="36">
        <v>5.0182000000000002</v>
      </c>
      <c r="X22" s="36" t="str">
        <f>Quebrado(5,182/GCD(182,10000),10000/GCD(182,10000))</f>
        <v>25091/5000</v>
      </c>
      <c r="Z22" s="10">
        <v>19</v>
      </c>
      <c r="AA22" s="36" t="s">
        <v>521</v>
      </c>
      <c r="AB22" s="51" t="s">
        <v>522</v>
      </c>
      <c r="AC22" s="20" t="str">
        <f>Quebrado(5,18/GCD(18,999),999/GCD(18,999))</f>
        <v>557/111</v>
      </c>
      <c r="AE22" s="10">
        <v>19</v>
      </c>
      <c r="AF22" s="36" t="s">
        <v>545</v>
      </c>
      <c r="AG22" s="51" t="s">
        <v>560</v>
      </c>
      <c r="AH22" s="20" t="str">
        <f>Quebrado(3,6106/GCD(6106,9990),9990/GCD(6106,9990))</f>
        <v>18038/4995</v>
      </c>
      <c r="AJ22" s="10">
        <v>19</v>
      </c>
      <c r="AK22" s="36" t="s">
        <v>597</v>
      </c>
      <c r="AL22" s="51" t="s">
        <v>595</v>
      </c>
      <c r="AM22" s="20" t="str">
        <f>Quebrado(6,18/GCD(18,999),999/GCD(18,999))</f>
        <v>668/111</v>
      </c>
    </row>
    <row r="23" spans="1:39" ht="16">
      <c r="A23" s="10">
        <v>20</v>
      </c>
      <c r="B23" s="19">
        <v>1.7567567567567569E-2</v>
      </c>
      <c r="C23" s="51" t="s">
        <v>457</v>
      </c>
      <c r="D23" s="57" t="s">
        <v>432</v>
      </c>
      <c r="F23" s="10">
        <v>20</v>
      </c>
      <c r="G23" s="36" t="s">
        <v>440</v>
      </c>
      <c r="H23" s="57" t="s">
        <v>443</v>
      </c>
      <c r="J23" s="10">
        <v>20</v>
      </c>
      <c r="K23" s="36"/>
      <c r="L23" s="36"/>
      <c r="N23" s="10">
        <v>20</v>
      </c>
      <c r="O23" s="51" t="s">
        <v>471</v>
      </c>
      <c r="P23" s="20">
        <v>0.33333333333333331</v>
      </c>
      <c r="Q23" s="20">
        <v>3</v>
      </c>
      <c r="R23" s="36" t="str">
        <f t="shared" si="0"/>
        <v>3*1</v>
      </c>
      <c r="S23" s="58" t="s">
        <v>431</v>
      </c>
      <c r="T23" s="60">
        <v>0.33333333333333331</v>
      </c>
      <c r="V23" s="10">
        <v>20</v>
      </c>
      <c r="W23" s="36">
        <v>7.1468400000000001</v>
      </c>
      <c r="X23" s="36" t="str">
        <f>Quebrado(7,14684/GCD(14684,100000),100000/GCD(14684,10000))</f>
        <v>178671/25000</v>
      </c>
      <c r="Z23" s="10">
        <v>20</v>
      </c>
      <c r="AA23" s="36" t="s">
        <v>523</v>
      </c>
      <c r="AB23" s="51" t="s">
        <v>524</v>
      </c>
      <c r="AC23" s="20" t="str">
        <f>Quebrado(6,6/GCD(6,9999),9999/GCD(6,9999))</f>
        <v>20000/3333</v>
      </c>
      <c r="AE23" s="10">
        <v>20</v>
      </c>
      <c r="AF23" s="36" t="s">
        <v>546</v>
      </c>
      <c r="AG23" s="51" t="s">
        <v>561</v>
      </c>
      <c r="AH23" s="20" t="str">
        <f>Quebrado(4,9903/GCD(9903,99900),99900/GCD(9903,99900))</f>
        <v>136501/33300</v>
      </c>
      <c r="AJ23" s="10">
        <v>20</v>
      </c>
      <c r="AK23" s="36" t="s">
        <v>596</v>
      </c>
      <c r="AL23" s="51" t="s">
        <v>598</v>
      </c>
      <c r="AM23" s="20" t="str">
        <f>Quebrado(5,15/GCD(15,99),99/GCD(15,99))</f>
        <v>170/33</v>
      </c>
    </row>
    <row r="24" spans="1:39">
      <c r="N24" s="10">
        <v>21</v>
      </c>
      <c r="O24" s="51" t="s">
        <v>472</v>
      </c>
      <c r="P24" s="19">
        <v>0.1</v>
      </c>
      <c r="Q24" s="20">
        <v>10</v>
      </c>
      <c r="R24" s="36" t="str">
        <f t="shared" si="0"/>
        <v>5*2*1</v>
      </c>
      <c r="S24" s="57" t="s">
        <v>430</v>
      </c>
      <c r="T24" s="62">
        <v>0.1</v>
      </c>
      <c r="AJ24" s="10">
        <v>21</v>
      </c>
      <c r="AK24" s="36">
        <v>8.0000000000000002E-3</v>
      </c>
      <c r="AL24" s="51" t="s">
        <v>569</v>
      </c>
      <c r="AM24" s="20">
        <v>8.0000000000000002E-3</v>
      </c>
    </row>
    <row r="25" spans="1:39" ht="16">
      <c r="N25" s="10">
        <v>22</v>
      </c>
      <c r="O25" s="51" t="s">
        <v>473</v>
      </c>
      <c r="P25" s="19">
        <v>0.14285714285714285</v>
      </c>
      <c r="Q25" s="20">
        <v>7</v>
      </c>
      <c r="R25" s="36" t="str">
        <f t="shared" si="0"/>
        <v>7*1</v>
      </c>
      <c r="S25" s="58" t="s">
        <v>431</v>
      </c>
      <c r="T25" s="63">
        <v>0.14285714285714285</v>
      </c>
      <c r="AJ25" s="10">
        <v>22</v>
      </c>
      <c r="AK25" s="36">
        <v>3.05</v>
      </c>
      <c r="AL25" s="51" t="s">
        <v>599</v>
      </c>
      <c r="AM25" s="20" t="str">
        <f>Quebrado(3,5/GCD(5,100),100/GCD(5,100))</f>
        <v>61/20</v>
      </c>
    </row>
    <row r="26" spans="1:39" ht="16">
      <c r="N26" s="10">
        <v>23</v>
      </c>
      <c r="O26" s="51" t="s">
        <v>474</v>
      </c>
      <c r="P26" s="19">
        <v>0.33333333333333331</v>
      </c>
      <c r="Q26" s="20">
        <v>3</v>
      </c>
      <c r="R26" s="36" t="str">
        <f t="shared" si="0"/>
        <v>3*1</v>
      </c>
      <c r="S26" s="58" t="s">
        <v>431</v>
      </c>
      <c r="T26" s="63">
        <v>0.33333333333333331</v>
      </c>
      <c r="AJ26" s="10">
        <v>23</v>
      </c>
      <c r="AK26" s="36" t="s">
        <v>600</v>
      </c>
      <c r="AL26" s="51" t="s">
        <v>601</v>
      </c>
      <c r="AM26" s="20">
        <v>6.006006006006006E-2</v>
      </c>
    </row>
    <row r="27" spans="1:39" ht="16">
      <c r="N27" s="10">
        <v>24</v>
      </c>
      <c r="O27" s="51" t="s">
        <v>475</v>
      </c>
      <c r="P27" s="19">
        <v>0.6</v>
      </c>
      <c r="Q27" s="20">
        <v>5</v>
      </c>
      <c r="R27" s="36" t="str">
        <f t="shared" si="0"/>
        <v>5*1</v>
      </c>
      <c r="S27" s="58" t="s">
        <v>430</v>
      </c>
      <c r="T27" s="62">
        <v>0.6</v>
      </c>
      <c r="AJ27" s="10">
        <v>24</v>
      </c>
      <c r="AK27" s="36" t="s">
        <v>602</v>
      </c>
      <c r="AL27" s="51" t="s">
        <v>603</v>
      </c>
      <c r="AM27" s="36" t="str">
        <f>Quebrado(4,121/GCD(121,900),900/GCD(121,900))</f>
        <v>3721/900</v>
      </c>
    </row>
    <row r="28" spans="1:39" ht="16">
      <c r="N28" s="10">
        <v>25</v>
      </c>
      <c r="O28" s="51" t="s">
        <v>476</v>
      </c>
      <c r="P28" s="19">
        <v>0.34782608695652173</v>
      </c>
      <c r="Q28" s="20">
        <v>23</v>
      </c>
      <c r="R28" s="36" t="str">
        <f t="shared" si="0"/>
        <v>23*1</v>
      </c>
      <c r="S28" s="58" t="s">
        <v>431</v>
      </c>
      <c r="T28" s="63">
        <v>0.34782608695652173</v>
      </c>
      <c r="AJ28" s="10">
        <v>25</v>
      </c>
      <c r="AK28" s="36" t="s">
        <v>604</v>
      </c>
      <c r="AL28" s="51" t="s">
        <v>605</v>
      </c>
      <c r="AM28" s="36" t="str">
        <f>Quebrado(0,15/GCD(15,99000),99000/GCD(15,99000))</f>
        <v>1/6600</v>
      </c>
    </row>
    <row r="29" spans="1:39" ht="16">
      <c r="N29" s="10">
        <v>26</v>
      </c>
      <c r="O29" s="51" t="s">
        <v>477</v>
      </c>
      <c r="P29" s="19">
        <v>0.33333333333333331</v>
      </c>
      <c r="Q29" s="20">
        <v>3</v>
      </c>
      <c r="R29" s="36" t="str">
        <f t="shared" si="0"/>
        <v>3*1</v>
      </c>
      <c r="S29" s="58" t="s">
        <v>431</v>
      </c>
      <c r="T29" s="63">
        <v>0.33333333333333331</v>
      </c>
      <c r="AJ29" s="10">
        <v>26</v>
      </c>
      <c r="AK29" s="36">
        <v>1.3999999999999999E-6</v>
      </c>
      <c r="AL29" s="51" t="s">
        <v>606</v>
      </c>
      <c r="AM29" s="36" t="str">
        <f>Quebrado(0,14/GCD(14,10000000),10000000/GCD(14,10000000))</f>
        <v>7/5000000</v>
      </c>
    </row>
    <row r="30" spans="1:39" ht="16">
      <c r="N30" s="10">
        <v>27</v>
      </c>
      <c r="O30" s="51" t="s">
        <v>478</v>
      </c>
      <c r="P30" s="19">
        <v>0.33333333333333331</v>
      </c>
      <c r="Q30" s="20">
        <v>3</v>
      </c>
      <c r="R30" s="36" t="str">
        <f t="shared" si="0"/>
        <v>3*1</v>
      </c>
      <c r="S30" s="58" t="s">
        <v>431</v>
      </c>
      <c r="T30" s="63">
        <v>0.33333333333333331</v>
      </c>
      <c r="AJ30" s="10">
        <v>27</v>
      </c>
      <c r="AK30" s="36" t="s">
        <v>607</v>
      </c>
      <c r="AL30" s="51" t="s">
        <v>608</v>
      </c>
      <c r="AM30" s="36" t="str">
        <f>Quebrado(8,321/GCD(321,9999),9999/GCD(321,9999))</f>
        <v>26771/3333</v>
      </c>
    </row>
    <row r="31" spans="1:39" ht="16">
      <c r="N31" s="10">
        <v>28</v>
      </c>
      <c r="O31" s="51" t="s">
        <v>479</v>
      </c>
      <c r="P31" s="19">
        <v>0.66666666666666663</v>
      </c>
      <c r="Q31" s="20">
        <v>3</v>
      </c>
      <c r="R31" s="36" t="str">
        <f t="shared" si="0"/>
        <v>3*1</v>
      </c>
      <c r="S31" s="58" t="s">
        <v>431</v>
      </c>
      <c r="T31" s="63">
        <v>0.66666666666666663</v>
      </c>
      <c r="AJ31" s="10">
        <v>28</v>
      </c>
      <c r="AK31" s="36" t="s">
        <v>609</v>
      </c>
      <c r="AL31" s="51" t="s">
        <v>610</v>
      </c>
      <c r="AM31" s="36" t="str">
        <f>Quebrado(0,855/GCD(855,9900),9900/GCD(855,9900))</f>
        <v>19/220</v>
      </c>
    </row>
    <row r="32" spans="1:39">
      <c r="N32" s="10">
        <v>29</v>
      </c>
      <c r="O32" s="51" t="s">
        <v>480</v>
      </c>
      <c r="P32" s="19">
        <v>7.1428571428571425E-2</v>
      </c>
      <c r="Q32" s="20">
        <v>14</v>
      </c>
      <c r="R32" s="36" t="str">
        <f t="shared" si="0"/>
        <v>7*2*1</v>
      </c>
      <c r="S32" s="57" t="s">
        <v>432</v>
      </c>
      <c r="T32" s="63">
        <v>7.1428571428571425E-2</v>
      </c>
      <c r="AJ32" s="10">
        <v>29</v>
      </c>
      <c r="AK32" s="36" t="s">
        <v>611</v>
      </c>
      <c r="AL32" s="51" t="s">
        <v>612</v>
      </c>
      <c r="AM32" s="36" t="str">
        <f>Quebrado(6,8827/GCD(8827,9900),9900/GCD(8827,9900))</f>
        <v>68227/9900</v>
      </c>
    </row>
    <row r="33" spans="14:39" ht="16">
      <c r="N33" s="10">
        <v>30</v>
      </c>
      <c r="O33" s="20">
        <v>0.55052264808362372</v>
      </c>
      <c r="P33" s="19">
        <v>0.55052264808362372</v>
      </c>
      <c r="Q33" s="20">
        <v>287</v>
      </c>
      <c r="R33" s="36" t="str">
        <f t="shared" si="0"/>
        <v>41*7*1</v>
      </c>
      <c r="S33" s="58" t="s">
        <v>431</v>
      </c>
      <c r="T33" s="63">
        <v>0.55052264808362372</v>
      </c>
      <c r="AJ33" s="10">
        <v>30</v>
      </c>
      <c r="AK33" s="36">
        <v>18.032599999999999</v>
      </c>
      <c r="AL33" s="51" t="s">
        <v>613</v>
      </c>
      <c r="AM33" s="36" t="str">
        <f>Quebrado(18,326/GCD(326,10000),10000/GCD(326,10000))</f>
        <v>90163/5000</v>
      </c>
    </row>
    <row r="34" spans="14:39">
      <c r="AJ34" s="10">
        <v>31</v>
      </c>
      <c r="AK34" s="36" t="s">
        <v>614</v>
      </c>
      <c r="AL34" s="51" t="s">
        <v>615</v>
      </c>
      <c r="AM34" s="36" t="str">
        <f>Quebrado(14,6/GCD(6,9),9/GCD(6,9))</f>
        <v>44/3</v>
      </c>
    </row>
    <row r="35" spans="14:39">
      <c r="AJ35" s="10">
        <v>32</v>
      </c>
      <c r="AK35" s="36" t="s">
        <v>616</v>
      </c>
      <c r="AL35" s="51" t="s">
        <v>617</v>
      </c>
      <c r="AM35" s="36" t="str">
        <f>Quebrado(0,8645/GCD(8645,90000),90000/GCD(8645,90000))</f>
        <v>1729/18000</v>
      </c>
    </row>
    <row r="36" spans="14:39">
      <c r="AJ36" s="10">
        <v>33</v>
      </c>
      <c r="AK36" s="36">
        <v>15.074999999999999</v>
      </c>
      <c r="AL36" s="51" t="s">
        <v>618</v>
      </c>
      <c r="AM36" s="36" t="str">
        <f>Quebrado(15,75/GCD(75,1000),1000/GCD(75,1000))</f>
        <v>603/40</v>
      </c>
    </row>
    <row r="37" spans="14:39">
      <c r="AJ37" s="10">
        <v>34</v>
      </c>
      <c r="AK37" s="36" t="s">
        <v>619</v>
      </c>
      <c r="AL37" s="51" t="s">
        <v>620</v>
      </c>
      <c r="AM37" s="36" t="str">
        <f>Quebrado(0,8856/GCD(8856,99999),99999/GCD(8856,99999))</f>
        <v>24/271</v>
      </c>
    </row>
    <row r="38" spans="14:39">
      <c r="AJ38" s="10">
        <v>35</v>
      </c>
      <c r="AK38" s="36">
        <v>0.18679999999999999</v>
      </c>
      <c r="AL38" s="51" t="s">
        <v>621</v>
      </c>
      <c r="AM38" s="36" t="str">
        <f>Quebrado(0,1868/GCD(1868,10000),10000/GCD(1868,10000))</f>
        <v>467/2500</v>
      </c>
    </row>
    <row r="39" spans="14:39">
      <c r="AJ39" s="10">
        <v>36</v>
      </c>
      <c r="AK39" s="36" t="s">
        <v>622</v>
      </c>
      <c r="AL39" s="51" t="s">
        <v>623</v>
      </c>
      <c r="AM39" s="36" t="str">
        <f>Quebrado(0,136921/GCD(136921,9999000),9999000/GCD(136921,9999000))</f>
        <v>136921/9999000</v>
      </c>
    </row>
    <row r="40" spans="14:39">
      <c r="AJ40" s="10">
        <v>37</v>
      </c>
      <c r="AK40" s="36">
        <v>1.8E-5</v>
      </c>
      <c r="AL40" s="51" t="s">
        <v>624</v>
      </c>
      <c r="AM40" s="36" t="str">
        <f>Quebrado(0,18/GCD(18,1000000),1000000/GCD(18,1000000))</f>
        <v>9/500000</v>
      </c>
    </row>
    <row r="41" spans="14:39">
      <c r="AJ41" s="10">
        <v>38</v>
      </c>
      <c r="AK41" s="36">
        <v>8.6400000000000001E-7</v>
      </c>
      <c r="AL41" s="51" t="s">
        <v>625</v>
      </c>
      <c r="AM41" s="36" t="str">
        <f>Quebrado(0,864/GCD(864,1000000000),1000000000/GCD(864,1000000000))</f>
        <v>27/31250000</v>
      </c>
    </row>
    <row r="42" spans="14:39">
      <c r="AJ42" s="10">
        <v>39</v>
      </c>
      <c r="AK42" s="36" t="s">
        <v>626</v>
      </c>
      <c r="AL42" s="51" t="s">
        <v>627</v>
      </c>
      <c r="AM42" s="36" t="str">
        <f>Quebrado(5,165/GCD(165,999),999/GCD(165,999))</f>
        <v>1720/333</v>
      </c>
    </row>
    <row r="43" spans="14:39">
      <c r="AJ43" s="10">
        <v>40</v>
      </c>
      <c r="AK43" s="36" t="s">
        <v>628</v>
      </c>
      <c r="AL43" s="51" t="s">
        <v>629</v>
      </c>
      <c r="AM43" s="36" t="str">
        <f>Quebrado(0,894/GCD(894,999),999/GCD(894,999))</f>
        <v>298/333</v>
      </c>
    </row>
    <row r="44" spans="14:39">
      <c r="AJ44" s="10">
        <v>41</v>
      </c>
      <c r="AK44" s="36" t="s">
        <v>630</v>
      </c>
      <c r="AL44" s="51" t="s">
        <v>631</v>
      </c>
      <c r="AM44" s="36" t="str">
        <f>Quebrado(0,56837/GCD(56837,999000),999000/GCD(56837,999000))</f>
        <v>56837/999000</v>
      </c>
    </row>
    <row r="45" spans="14:39">
      <c r="AJ45" s="10">
        <v>42</v>
      </c>
      <c r="AK45" s="36" t="s">
        <v>632</v>
      </c>
      <c r="AL45" s="51" t="s">
        <v>633</v>
      </c>
      <c r="AM45" s="36" t="str">
        <f>Quebrado(9,36/GCD(36,9999),9999/GCD(36,9999))</f>
        <v>10003/1111</v>
      </c>
    </row>
    <row r="46" spans="14:39">
      <c r="AJ46" s="10">
        <v>43</v>
      </c>
      <c r="AK46" s="36" t="s">
        <v>634</v>
      </c>
      <c r="AL46" s="51" t="s">
        <v>635</v>
      </c>
      <c r="AM46" s="36" t="str">
        <f>Quebrado(0,54269/GCD(54269,99900),99900/GCD(54269,99900))</f>
        <v>54269/99900</v>
      </c>
    </row>
    <row r="47" spans="14:39">
      <c r="AJ47" s="10">
        <v>44</v>
      </c>
      <c r="AK47" s="36">
        <v>21.006</v>
      </c>
      <c r="AL47" s="51" t="s">
        <v>636</v>
      </c>
      <c r="AM47" s="36" t="str">
        <f>Quebrado(21,6/GCD(6,1000),1000/GCD(6,1000))</f>
        <v>10503/500</v>
      </c>
    </row>
    <row r="48" spans="14:39">
      <c r="AJ48" s="10">
        <v>45</v>
      </c>
      <c r="AK48" s="36" t="s">
        <v>637</v>
      </c>
      <c r="AL48" s="51" t="s">
        <v>638</v>
      </c>
      <c r="AM48" s="36" t="str">
        <f>Quebrado(4,883/GCD(883,99999),99999/GCD(883,99999))</f>
        <v>400879/99999</v>
      </c>
    </row>
  </sheetData>
  <mergeCells count="10">
    <mergeCell ref="AE2:AH2"/>
    <mergeCell ref="AJ2:AM2"/>
    <mergeCell ref="AO2:AR2"/>
    <mergeCell ref="AQ3:AS3"/>
    <mergeCell ref="A2:D2"/>
    <mergeCell ref="F2:H2"/>
    <mergeCell ref="J2:L2"/>
    <mergeCell ref="V2:X2"/>
    <mergeCell ref="N2:T2"/>
    <mergeCell ref="Z2:AC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/>
  <dimension ref="A1:CW40"/>
  <sheetViews>
    <sheetView topLeftCell="BY1" workbookViewId="0">
      <selection activeCell="BY1" sqref="BY1"/>
    </sheetView>
  </sheetViews>
  <sheetFormatPr baseColWidth="10" defaultRowHeight="15"/>
  <cols>
    <col min="1" max="1" width="10.83203125" style="10"/>
    <col min="2" max="2" width="31.5" style="10" customWidth="1"/>
    <col min="3" max="3" width="17.5" style="10" customWidth="1"/>
    <col min="4" max="4" width="12.5" style="10" customWidth="1"/>
    <col min="5" max="6" width="10.83203125" style="10"/>
    <col min="7" max="7" width="14.83203125" style="10" customWidth="1"/>
    <col min="8" max="8" width="16" style="10" customWidth="1"/>
    <col min="9" max="9" width="12.5" style="10" customWidth="1"/>
    <col min="10" max="10" width="14.6640625" style="10" customWidth="1"/>
    <col min="11" max="12" width="10.83203125" style="10"/>
    <col min="13" max="13" width="11" style="10" customWidth="1"/>
    <col min="14" max="14" width="11.1640625" style="10" customWidth="1"/>
    <col min="15" max="15" width="10.83203125" style="10"/>
    <col min="16" max="16" width="13" style="10" customWidth="1"/>
    <col min="17" max="17" width="12.1640625" style="10" customWidth="1"/>
    <col min="18" max="18" width="13" style="10" customWidth="1"/>
    <col min="19" max="19" width="13.1640625" style="10" customWidth="1"/>
    <col min="20" max="20" width="10.83203125" style="10"/>
    <col min="21" max="21" width="9.6640625" style="10" customWidth="1"/>
    <col min="22" max="22" width="8.83203125" style="10" customWidth="1"/>
    <col min="23" max="23" width="8.6640625" style="10" customWidth="1"/>
    <col min="24" max="24" width="10.6640625" style="10" customWidth="1"/>
    <col min="25" max="25" width="10" style="10" customWidth="1"/>
    <col min="26" max="26" width="9.6640625" style="10" customWidth="1"/>
    <col min="27" max="28" width="10.83203125" style="10"/>
    <col min="29" max="29" width="9.5" style="10" customWidth="1"/>
    <col min="30" max="30" width="8.5" style="10" customWidth="1"/>
    <col min="31" max="31" width="9.1640625" style="10" customWidth="1"/>
    <col min="32" max="33" width="10.83203125" style="10"/>
    <col min="34" max="34" width="11.6640625" style="10" customWidth="1"/>
    <col min="35" max="35" width="11.5" style="10" customWidth="1"/>
    <col min="36" max="36" width="13.33203125" style="10" customWidth="1"/>
    <col min="37" max="37" width="10.83203125" style="10"/>
    <col min="38" max="38" width="9.5" style="10" customWidth="1"/>
    <col min="39" max="39" width="9.33203125" style="10" customWidth="1"/>
    <col min="40" max="40" width="10.83203125" style="10"/>
    <col min="41" max="41" width="11.33203125" style="10" customWidth="1"/>
    <col min="42" max="42" width="14.6640625" style="10" customWidth="1"/>
    <col min="43" max="43" width="10.83203125" style="10"/>
    <col min="44" max="44" width="12.1640625" style="10" customWidth="1"/>
    <col min="45" max="45" width="17.33203125" style="10" customWidth="1"/>
    <col min="46" max="46" width="14" style="10" customWidth="1"/>
    <col min="47" max="47" width="10.83203125" style="10"/>
    <col min="48" max="49" width="9.5" style="10" customWidth="1"/>
    <col min="50" max="50" width="9" style="10" customWidth="1"/>
    <col min="51" max="51" width="13.5" style="10" customWidth="1"/>
    <col min="52" max="54" width="10.83203125" style="10"/>
    <col min="55" max="55" width="14" style="10" customWidth="1"/>
    <col min="56" max="56" width="10.83203125" style="10"/>
    <col min="57" max="58" width="9.1640625" style="10" customWidth="1"/>
    <col min="59" max="59" width="9.83203125" style="10" customWidth="1"/>
    <col min="60" max="63" width="10.83203125" style="10"/>
    <col min="64" max="64" width="17.5" style="10" customWidth="1"/>
    <col min="65" max="66" width="10.83203125" style="10"/>
    <col min="67" max="67" width="9.6640625" style="10" customWidth="1"/>
    <col min="68" max="68" width="6.5" style="10" customWidth="1"/>
    <col min="69" max="69" width="7" style="10" customWidth="1"/>
    <col min="70" max="70" width="12.83203125" style="10" customWidth="1"/>
    <col min="71" max="71" width="10.83203125" style="10"/>
    <col min="72" max="72" width="9.6640625" style="10" customWidth="1"/>
    <col min="73" max="73" width="6.5" style="10" customWidth="1"/>
    <col min="74" max="74" width="8.5" style="10" customWidth="1"/>
    <col min="75" max="75" width="6.6640625" style="10" customWidth="1"/>
    <col min="76" max="76" width="10.83203125" style="10"/>
    <col min="77" max="77" width="9.1640625" style="10" customWidth="1"/>
    <col min="78" max="78" width="5" style="10" customWidth="1"/>
    <col min="79" max="79" width="6.1640625" style="10" customWidth="1"/>
    <col min="80" max="81" width="10.83203125" style="10"/>
    <col min="82" max="82" width="9.5" style="10" customWidth="1"/>
    <col min="83" max="83" width="5.83203125" style="10" customWidth="1"/>
    <col min="84" max="84" width="9.6640625" style="10" customWidth="1"/>
    <col min="85" max="85" width="10.83203125" style="10" customWidth="1"/>
    <col min="86" max="86" width="10.83203125" style="10"/>
    <col min="87" max="87" width="9.83203125" style="10" customWidth="1"/>
    <col min="88" max="88" width="14.33203125" style="10" customWidth="1"/>
    <col min="89" max="89" width="19.6640625" style="10" customWidth="1"/>
    <col min="90" max="90" width="14.33203125" style="10" customWidth="1"/>
    <col min="91" max="91" width="10.1640625" style="10" customWidth="1"/>
    <col min="92" max="92" width="10.83203125" style="10"/>
    <col min="93" max="93" width="9.5" style="10" customWidth="1"/>
    <col min="94" max="94" width="37.1640625" style="10" customWidth="1"/>
    <col min="95" max="95" width="10.83203125" style="10" customWidth="1"/>
    <col min="96" max="96" width="10.83203125" style="10"/>
    <col min="97" max="98" width="9.6640625" style="10" customWidth="1"/>
    <col min="99" max="99" width="24.33203125" style="10" customWidth="1"/>
    <col min="100" max="100" width="11.5" style="10" customWidth="1"/>
    <col min="101" max="101" width="13.5" style="10" customWidth="1"/>
    <col min="102" max="16384" width="10.83203125" style="10"/>
  </cols>
  <sheetData>
    <row r="1" spans="1:101" ht="100" customHeight="1"/>
    <row r="2" spans="1:101">
      <c r="A2" s="11" t="s">
        <v>656</v>
      </c>
      <c r="B2" s="11"/>
      <c r="C2" s="11"/>
      <c r="D2" s="11"/>
      <c r="F2" s="11" t="s">
        <v>670</v>
      </c>
      <c r="G2" s="11"/>
      <c r="H2" s="11"/>
      <c r="I2" s="11"/>
      <c r="J2" s="11"/>
      <c r="L2" s="11" t="s">
        <v>676</v>
      </c>
      <c r="M2" s="11"/>
      <c r="N2" s="11"/>
      <c r="O2" s="11"/>
      <c r="P2" s="11"/>
      <c r="Q2" s="11"/>
      <c r="R2" s="11"/>
      <c r="S2" s="11"/>
      <c r="U2" s="11" t="s">
        <v>681</v>
      </c>
      <c r="V2" s="11"/>
      <c r="W2" s="11"/>
      <c r="X2" s="11"/>
      <c r="Y2" s="11"/>
      <c r="Z2" s="11"/>
      <c r="AA2" s="11"/>
      <c r="AC2" s="11" t="s">
        <v>682</v>
      </c>
      <c r="AD2" s="11"/>
      <c r="AE2" s="11"/>
      <c r="AF2" s="11"/>
      <c r="AG2" s="11"/>
      <c r="AH2" s="11"/>
      <c r="AI2" s="11"/>
      <c r="AJ2" s="11"/>
      <c r="AL2" s="11" t="s">
        <v>683</v>
      </c>
      <c r="AM2" s="11"/>
      <c r="AN2" s="11"/>
      <c r="AO2" s="11"/>
      <c r="AP2" s="11"/>
      <c r="AQ2" s="11"/>
      <c r="AR2" s="11"/>
      <c r="AS2" s="11"/>
      <c r="AT2" s="11"/>
      <c r="AV2" s="29" t="s">
        <v>688</v>
      </c>
      <c r="AW2" s="29"/>
      <c r="AX2" s="29"/>
      <c r="AY2" s="29"/>
      <c r="AZ2" s="29"/>
      <c r="BA2" s="29"/>
      <c r="BB2" s="29"/>
      <c r="BC2" s="29"/>
      <c r="BE2" s="11" t="s">
        <v>689</v>
      </c>
      <c r="BF2" s="11"/>
      <c r="BG2" s="11"/>
      <c r="BH2" s="11"/>
      <c r="BI2" s="11"/>
      <c r="BJ2" s="11"/>
      <c r="BK2" s="11"/>
      <c r="BL2" s="11"/>
      <c r="BM2" s="11"/>
      <c r="BO2" s="11" t="s">
        <v>691</v>
      </c>
      <c r="BP2" s="11"/>
      <c r="BQ2" s="11"/>
      <c r="BR2" s="11"/>
      <c r="BT2" s="11" t="s">
        <v>695</v>
      </c>
      <c r="BU2" s="11"/>
      <c r="BV2" s="11"/>
      <c r="BW2" s="11"/>
      <c r="BY2" s="11" t="s">
        <v>698</v>
      </c>
      <c r="BZ2" s="11"/>
      <c r="CA2" s="11"/>
      <c r="CB2" s="11"/>
      <c r="CD2" s="11" t="s">
        <v>699</v>
      </c>
      <c r="CE2" s="11"/>
      <c r="CF2" s="11"/>
      <c r="CG2" s="11"/>
      <c r="CI2" s="11" t="s">
        <v>702</v>
      </c>
      <c r="CJ2" s="11"/>
      <c r="CK2" s="11"/>
      <c r="CL2" s="30"/>
      <c r="CO2" s="11" t="s">
        <v>721</v>
      </c>
      <c r="CP2" s="11"/>
      <c r="CQ2" s="11"/>
      <c r="CS2" s="11" t="s">
        <v>731</v>
      </c>
      <c r="CT2" s="11"/>
      <c r="CU2" s="11"/>
      <c r="CV2" s="11"/>
    </row>
    <row r="3" spans="1:101" ht="32">
      <c r="A3" s="12" t="s">
        <v>4</v>
      </c>
      <c r="B3" s="31" t="s">
        <v>391</v>
      </c>
      <c r="C3" s="31" t="s">
        <v>668</v>
      </c>
      <c r="D3" s="14" t="s">
        <v>669</v>
      </c>
      <c r="F3" s="12" t="s">
        <v>4</v>
      </c>
      <c r="G3" s="31" t="s">
        <v>85</v>
      </c>
      <c r="H3" s="31" t="s">
        <v>86</v>
      </c>
      <c r="I3" s="14" t="s">
        <v>668</v>
      </c>
      <c r="J3" s="14" t="s">
        <v>669</v>
      </c>
      <c r="L3" s="12" t="s">
        <v>4</v>
      </c>
      <c r="M3" s="31" t="s">
        <v>200</v>
      </c>
      <c r="N3" s="31" t="s">
        <v>199</v>
      </c>
      <c r="O3" s="14" t="s">
        <v>677</v>
      </c>
      <c r="P3" s="14" t="s">
        <v>678</v>
      </c>
      <c r="Q3" s="14" t="s">
        <v>679</v>
      </c>
      <c r="R3" s="14" t="s">
        <v>668</v>
      </c>
      <c r="S3" s="14" t="s">
        <v>669</v>
      </c>
      <c r="U3" s="12" t="s">
        <v>4</v>
      </c>
      <c r="V3" s="31" t="s">
        <v>200</v>
      </c>
      <c r="W3" s="31" t="s">
        <v>199</v>
      </c>
      <c r="X3" s="14" t="s">
        <v>677</v>
      </c>
      <c r="Y3" s="14" t="s">
        <v>678</v>
      </c>
      <c r="Z3" s="14" t="s">
        <v>679</v>
      </c>
      <c r="AA3" s="14" t="s">
        <v>668</v>
      </c>
      <c r="AC3" s="12" t="s">
        <v>4</v>
      </c>
      <c r="AD3" s="31" t="s">
        <v>200</v>
      </c>
      <c r="AE3" s="31" t="s">
        <v>199</v>
      </c>
      <c r="AF3" s="14" t="s">
        <v>677</v>
      </c>
      <c r="AG3" s="14" t="s">
        <v>678</v>
      </c>
      <c r="AH3" s="14" t="s">
        <v>679</v>
      </c>
      <c r="AI3" s="14" t="s">
        <v>668</v>
      </c>
      <c r="AJ3" s="14" t="s">
        <v>669</v>
      </c>
      <c r="AL3" s="12" t="s">
        <v>4</v>
      </c>
      <c r="AM3" s="31" t="s">
        <v>200</v>
      </c>
      <c r="AN3" s="31" t="s">
        <v>199</v>
      </c>
      <c r="AO3" s="31" t="s">
        <v>684</v>
      </c>
      <c r="AP3" s="14" t="s">
        <v>686</v>
      </c>
      <c r="AQ3" s="14" t="s">
        <v>687</v>
      </c>
      <c r="AR3" s="14" t="s">
        <v>685</v>
      </c>
      <c r="AS3" s="14" t="s">
        <v>668</v>
      </c>
      <c r="AT3" s="14" t="s">
        <v>669</v>
      </c>
      <c r="AV3" s="32" t="s">
        <v>4</v>
      </c>
      <c r="AW3" s="33" t="s">
        <v>200</v>
      </c>
      <c r="AX3" s="33" t="s">
        <v>199</v>
      </c>
      <c r="AY3" s="33" t="s">
        <v>684</v>
      </c>
      <c r="AZ3" s="33" t="s">
        <v>686</v>
      </c>
      <c r="BA3" s="33" t="s">
        <v>687</v>
      </c>
      <c r="BB3" s="33" t="s">
        <v>685</v>
      </c>
      <c r="BC3" s="33" t="s">
        <v>668</v>
      </c>
      <c r="BE3" s="12" t="s">
        <v>4</v>
      </c>
      <c r="BF3" s="31" t="s">
        <v>200</v>
      </c>
      <c r="BG3" s="31" t="s">
        <v>199</v>
      </c>
      <c r="BH3" s="31" t="s">
        <v>684</v>
      </c>
      <c r="BI3" s="14" t="s">
        <v>686</v>
      </c>
      <c r="BJ3" s="14" t="s">
        <v>687</v>
      </c>
      <c r="BK3" s="14" t="s">
        <v>685</v>
      </c>
      <c r="BL3" s="14" t="s">
        <v>668</v>
      </c>
      <c r="BM3" s="14" t="s">
        <v>669</v>
      </c>
      <c r="BO3" s="12" t="s">
        <v>4</v>
      </c>
      <c r="BP3" s="34" t="s">
        <v>692</v>
      </c>
      <c r="BQ3" s="31" t="s">
        <v>693</v>
      </c>
      <c r="BR3" s="14" t="s">
        <v>694</v>
      </c>
      <c r="BT3" s="12" t="s">
        <v>4</v>
      </c>
      <c r="BU3" s="34" t="s">
        <v>692</v>
      </c>
      <c r="BV3" s="31" t="s">
        <v>696</v>
      </c>
      <c r="BW3" s="34" t="s">
        <v>697</v>
      </c>
      <c r="BY3" s="12" t="s">
        <v>4</v>
      </c>
      <c r="BZ3" s="34" t="s">
        <v>692</v>
      </c>
      <c r="CA3" s="31" t="s">
        <v>693</v>
      </c>
      <c r="CB3" s="14" t="s">
        <v>713</v>
      </c>
      <c r="CD3" s="12" t="s">
        <v>4</v>
      </c>
      <c r="CE3" s="34" t="s">
        <v>692</v>
      </c>
      <c r="CF3" s="31" t="s">
        <v>700</v>
      </c>
      <c r="CG3" s="34" t="s">
        <v>701</v>
      </c>
      <c r="CI3" s="12" t="s">
        <v>4</v>
      </c>
      <c r="CJ3" s="13" t="s">
        <v>234</v>
      </c>
      <c r="CK3" s="31" t="s">
        <v>718</v>
      </c>
      <c r="CL3" s="13" t="s">
        <v>86</v>
      </c>
      <c r="CM3" s="13" t="s">
        <v>669</v>
      </c>
      <c r="CO3" s="12" t="s">
        <v>4</v>
      </c>
      <c r="CP3" s="13" t="s">
        <v>234</v>
      </c>
      <c r="CQ3" s="31" t="s">
        <v>196</v>
      </c>
      <c r="CS3" s="12" t="s">
        <v>4</v>
      </c>
      <c r="CT3" s="12" t="s">
        <v>45</v>
      </c>
      <c r="CU3" s="13" t="s">
        <v>732</v>
      </c>
      <c r="CV3" s="31" t="s">
        <v>196</v>
      </c>
      <c r="CW3" s="35" t="s">
        <v>735</v>
      </c>
    </row>
    <row r="4" spans="1:101">
      <c r="A4" s="10">
        <v>1</v>
      </c>
      <c r="B4" s="36" t="s">
        <v>657</v>
      </c>
      <c r="C4" s="36">
        <f>3^2*5^2</f>
        <v>225</v>
      </c>
      <c r="F4" s="10">
        <v>1</v>
      </c>
      <c r="G4" s="36">
        <v>1</v>
      </c>
      <c r="H4" s="20">
        <v>4</v>
      </c>
      <c r="I4" s="37" t="str">
        <f>Quebrado(0,G4/GCD(G4,H4),H4/GCD(G4,H4))</f>
        <v>1/4</v>
      </c>
      <c r="L4" s="10">
        <v>1</v>
      </c>
      <c r="M4" s="36">
        <v>1</v>
      </c>
      <c r="N4" s="18">
        <v>2</v>
      </c>
      <c r="O4" s="37">
        <f>M4^2</f>
        <v>1</v>
      </c>
      <c r="P4" s="15">
        <f>2*M4*N4</f>
        <v>4</v>
      </c>
      <c r="Q4" s="15">
        <f>N4^2</f>
        <v>4</v>
      </c>
      <c r="R4" s="15">
        <f>O4+P4+Q4</f>
        <v>9</v>
      </c>
      <c r="U4" s="15">
        <v>1</v>
      </c>
      <c r="V4" s="15">
        <v>10</v>
      </c>
      <c r="W4" s="15">
        <v>5</v>
      </c>
      <c r="X4" s="15">
        <f>V4^2</f>
        <v>100</v>
      </c>
      <c r="Y4" s="15">
        <f>2*V4*W4</f>
        <v>100</v>
      </c>
      <c r="Z4" s="15">
        <f>W4^2</f>
        <v>25</v>
      </c>
      <c r="AA4" s="15">
        <f>X4+Y4+Z4</f>
        <v>225</v>
      </c>
      <c r="AC4" s="10">
        <v>1</v>
      </c>
      <c r="AD4" s="36">
        <v>9</v>
      </c>
      <c r="AE4" s="20">
        <v>7</v>
      </c>
      <c r="AF4" s="37">
        <f>AD4^2</f>
        <v>81</v>
      </c>
      <c r="AG4" s="15">
        <f>2*AD4*AE4</f>
        <v>126</v>
      </c>
      <c r="AH4" s="15">
        <f>AE4^2</f>
        <v>49</v>
      </c>
      <c r="AI4" s="15">
        <f>AF4-AG4+AH4</f>
        <v>4</v>
      </c>
      <c r="AL4" s="10">
        <v>1</v>
      </c>
      <c r="AM4" s="18">
        <v>3</v>
      </c>
      <c r="AN4" s="18">
        <v>4</v>
      </c>
      <c r="AO4" s="18">
        <f>AM4^3</f>
        <v>27</v>
      </c>
      <c r="AP4" s="18">
        <f>3*AM4^2*AN4</f>
        <v>108</v>
      </c>
      <c r="AQ4" s="18">
        <f>3*AM4*AN4^2</f>
        <v>144</v>
      </c>
      <c r="AR4" s="18">
        <f>AN4^3</f>
        <v>64</v>
      </c>
      <c r="AS4" s="15">
        <f>SUM(AO4:AR4)</f>
        <v>343</v>
      </c>
      <c r="AV4" s="38">
        <v>1</v>
      </c>
      <c r="AW4" s="15">
        <v>10</v>
      </c>
      <c r="AX4" s="15">
        <v>5</v>
      </c>
      <c r="AY4" s="15">
        <f>AW4^3</f>
        <v>1000</v>
      </c>
      <c r="AZ4" s="15">
        <f>3*AW4^2*AX4</f>
        <v>1500</v>
      </c>
      <c r="BA4" s="15">
        <f>3*AW4*AX4^2</f>
        <v>750</v>
      </c>
      <c r="BB4" s="15">
        <f>AX4^3</f>
        <v>125</v>
      </c>
      <c r="BC4" s="15">
        <f>SUM(AY4:BB4)</f>
        <v>3375</v>
      </c>
      <c r="BE4" s="10">
        <v>1</v>
      </c>
      <c r="BF4" s="18">
        <v>8</v>
      </c>
      <c r="BG4" s="18">
        <v>3</v>
      </c>
      <c r="BH4" s="18">
        <f>BF4^3</f>
        <v>512</v>
      </c>
      <c r="BI4" s="18">
        <f>3*BF4^2*BG4</f>
        <v>576</v>
      </c>
      <c r="BJ4" s="18">
        <f>3*BF4*BG4^2</f>
        <v>216</v>
      </c>
      <c r="BK4" s="18">
        <f>BG4^3</f>
        <v>27</v>
      </c>
      <c r="BL4" s="15">
        <f>BH4-BI4+BJ4-BK4</f>
        <v>125</v>
      </c>
      <c r="BO4" s="15">
        <v>1</v>
      </c>
      <c r="BP4" s="15">
        <v>2</v>
      </c>
      <c r="BQ4" s="15">
        <f>BP4+1</f>
        <v>3</v>
      </c>
      <c r="BR4" s="15">
        <f>2*BP4+1</f>
        <v>5</v>
      </c>
      <c r="BT4" s="15">
        <v>1</v>
      </c>
      <c r="BU4" s="15">
        <v>8</v>
      </c>
      <c r="BV4" s="15">
        <f>(BU4-1)^2</f>
        <v>49</v>
      </c>
      <c r="BW4" s="15">
        <f>BV4+2*SQRT(BV4)+1</f>
        <v>64</v>
      </c>
      <c r="BY4" s="15">
        <v>1</v>
      </c>
      <c r="BZ4" s="15">
        <v>2</v>
      </c>
      <c r="CA4" s="15">
        <f>BZ4+1</f>
        <v>3</v>
      </c>
      <c r="CB4" s="15">
        <f>3*BZ4^2+3*BZ4+1</f>
        <v>19</v>
      </c>
      <c r="CD4" s="15">
        <v>1</v>
      </c>
      <c r="CE4" s="15">
        <v>3</v>
      </c>
      <c r="CF4" s="15">
        <f>(CE4-1)^3</f>
        <v>8</v>
      </c>
      <c r="CG4" s="15">
        <f>CF4+3*CF4^(2/3)+3*CF4^(1/3)+1</f>
        <v>26.999999999999996</v>
      </c>
      <c r="CI4" s="15">
        <v>1</v>
      </c>
      <c r="CJ4" s="15" t="s">
        <v>703</v>
      </c>
      <c r="CK4" s="15">
        <f>(2^2)^2</f>
        <v>16</v>
      </c>
      <c r="CL4" s="15"/>
      <c r="CO4" s="15">
        <v>1</v>
      </c>
      <c r="CP4" s="15" t="s">
        <v>722</v>
      </c>
      <c r="CQ4" s="20">
        <f>((3/5)/(6/5))^2</f>
        <v>0.25</v>
      </c>
      <c r="CS4" s="15">
        <v>1</v>
      </c>
      <c r="CT4" s="15">
        <v>108</v>
      </c>
      <c r="CU4" s="36" t="str">
        <f>factores(CT4)</f>
        <v>3*3*3*2*2*1</v>
      </c>
      <c r="CV4" s="36" t="s">
        <v>733</v>
      </c>
      <c r="CW4" s="39">
        <f>CT4^0.5</f>
        <v>10.392304845413264</v>
      </c>
    </row>
    <row r="5" spans="1:101">
      <c r="A5" s="10">
        <v>2</v>
      </c>
      <c r="B5" s="36" t="s">
        <v>658</v>
      </c>
      <c r="C5" s="36">
        <f>2^2*3^2*4^2</f>
        <v>576</v>
      </c>
      <c r="F5" s="10">
        <v>2</v>
      </c>
      <c r="G5" s="36">
        <v>1</v>
      </c>
      <c r="H5" s="20">
        <v>16</v>
      </c>
      <c r="I5" s="37" t="str">
        <f t="shared" ref="I5:I23" si="0">Quebrado(0,G5/GCD(G5,H5),H5/GCD(G5,H5))</f>
        <v>1/16</v>
      </c>
      <c r="L5" s="10">
        <v>2</v>
      </c>
      <c r="M5" s="36">
        <v>6</v>
      </c>
      <c r="N5" s="18">
        <v>9</v>
      </c>
      <c r="O5" s="37">
        <f t="shared" ref="O5:O21" si="1">M5^2</f>
        <v>36</v>
      </c>
      <c r="P5" s="15">
        <f t="shared" ref="P5:P21" si="2">2*M5*N5</f>
        <v>108</v>
      </c>
      <c r="Q5" s="15">
        <f t="shared" ref="Q5:Q21" si="3">N5^2</f>
        <v>81</v>
      </c>
      <c r="R5" s="15">
        <f t="shared" ref="R5:R21" si="4">O5+P5+Q5</f>
        <v>225</v>
      </c>
      <c r="U5" s="15">
        <v>2</v>
      </c>
      <c r="V5" s="15">
        <v>20</v>
      </c>
      <c r="W5" s="15">
        <v>3</v>
      </c>
      <c r="X5" s="15">
        <f t="shared" ref="X5:X18" si="5">V5^2</f>
        <v>400</v>
      </c>
      <c r="Y5" s="15">
        <f t="shared" ref="Y5:Y18" si="6">2*V5*W5</f>
        <v>120</v>
      </c>
      <c r="Z5" s="15">
        <f t="shared" ref="Z5:Z18" si="7">W5^2</f>
        <v>9</v>
      </c>
      <c r="AA5" s="15">
        <f t="shared" ref="AA5:AA18" si="8">X5+Y5+Z5</f>
        <v>529</v>
      </c>
      <c r="AC5" s="10">
        <v>2</v>
      </c>
      <c r="AD5" s="36">
        <v>50</v>
      </c>
      <c r="AE5" s="20">
        <v>2</v>
      </c>
      <c r="AF5" s="15">
        <f t="shared" ref="AF5:AF21" si="9">AD5^2</f>
        <v>2500</v>
      </c>
      <c r="AG5" s="15">
        <f t="shared" ref="AG5:AG21" si="10">2*AD5*AE5</f>
        <v>200</v>
      </c>
      <c r="AH5" s="15">
        <f t="shared" ref="AH5:AH21" si="11">AE5^2</f>
        <v>4</v>
      </c>
      <c r="AI5" s="15">
        <f t="shared" ref="AI5:AI24" si="12">AF5-AG5+AH5</f>
        <v>2304</v>
      </c>
      <c r="AL5" s="10">
        <v>2</v>
      </c>
      <c r="AM5" s="18">
        <v>5</v>
      </c>
      <c r="AN5" s="18">
        <v>7</v>
      </c>
      <c r="AO5" s="18">
        <f t="shared" ref="AO5:AO24" si="13">AM5^3</f>
        <v>125</v>
      </c>
      <c r="AP5" s="18">
        <f t="shared" ref="AP5:AP24" si="14">3*AM5^2*AN5</f>
        <v>525</v>
      </c>
      <c r="AQ5" s="18">
        <f t="shared" ref="AQ5:AQ24" si="15">3*AM5*AN5^2</f>
        <v>735</v>
      </c>
      <c r="AR5" s="18">
        <f t="shared" ref="AR5:AR24" si="16">AN5^3</f>
        <v>343</v>
      </c>
      <c r="AS5" s="15">
        <f t="shared" ref="AS5:AS24" si="17">SUM(AO5:AR5)</f>
        <v>1728</v>
      </c>
      <c r="AV5" s="38">
        <v>2</v>
      </c>
      <c r="AW5" s="15">
        <v>20</v>
      </c>
      <c r="AX5" s="15">
        <v>3</v>
      </c>
      <c r="AY5" s="15">
        <f t="shared" ref="AY5:AY18" si="18">AW5^3</f>
        <v>8000</v>
      </c>
      <c r="AZ5" s="15">
        <f t="shared" ref="AZ5:AZ18" si="19">3*AW5^2*AX5</f>
        <v>3600</v>
      </c>
      <c r="BA5" s="15">
        <f t="shared" ref="BA5:BA18" si="20">3*AW5*AX5^2</f>
        <v>540</v>
      </c>
      <c r="BB5" s="15">
        <f t="shared" ref="BB5:BB18" si="21">AX5^3</f>
        <v>27</v>
      </c>
      <c r="BC5" s="15">
        <f t="shared" ref="BC5:BC18" si="22">SUM(AY5:BB5)</f>
        <v>12167</v>
      </c>
      <c r="BE5" s="10">
        <v>2</v>
      </c>
      <c r="BF5" s="18">
        <v>15</v>
      </c>
      <c r="BG5" s="18">
        <v>7</v>
      </c>
      <c r="BH5" s="18">
        <f t="shared" ref="BH5:BH24" si="23">BF5^3</f>
        <v>3375</v>
      </c>
      <c r="BI5" s="18">
        <f t="shared" ref="BI5:BI24" si="24">3*BF5^2*BG5</f>
        <v>4725</v>
      </c>
      <c r="BJ5" s="18">
        <f t="shared" ref="BJ5:BJ24" si="25">3*BF5*BG5^2</f>
        <v>2205</v>
      </c>
      <c r="BK5" s="18">
        <f t="shared" ref="BK5:BK24" si="26">BG5^3</f>
        <v>343</v>
      </c>
      <c r="BL5" s="15">
        <f t="shared" ref="BL5:BL24" si="27">BH5-BI5+BJ5-BK5</f>
        <v>512</v>
      </c>
      <c r="BO5" s="15">
        <v>2</v>
      </c>
      <c r="BP5" s="15">
        <v>5</v>
      </c>
      <c r="BQ5" s="15">
        <f t="shared" ref="BQ5:BQ18" si="28">BP5+1</f>
        <v>6</v>
      </c>
      <c r="BR5" s="15">
        <f t="shared" ref="BR5:BR18" si="29">2*BP5+1</f>
        <v>11</v>
      </c>
      <c r="BT5" s="15">
        <v>2</v>
      </c>
      <c r="BU5" s="15">
        <v>12</v>
      </c>
      <c r="BV5" s="15">
        <f t="shared" ref="BV5:BV12" si="30">(BU5-1)^2</f>
        <v>121</v>
      </c>
      <c r="BW5" s="15">
        <f t="shared" ref="BW5:BW12" si="31">BV5+2*SQRT(BV5)+1</f>
        <v>144</v>
      </c>
      <c r="BY5" s="15">
        <v>2</v>
      </c>
      <c r="BZ5" s="15">
        <v>4</v>
      </c>
      <c r="CA5" s="15">
        <f t="shared" ref="CA5:CA15" si="32">BZ5+1</f>
        <v>5</v>
      </c>
      <c r="CB5" s="15">
        <f t="shared" ref="CB5:CB15" si="33">3*BZ5^2+3*BZ5+1</f>
        <v>61</v>
      </c>
      <c r="CD5" s="15">
        <v>2</v>
      </c>
      <c r="CE5" s="15">
        <v>4</v>
      </c>
      <c r="CF5" s="15">
        <f t="shared" ref="CF5:CF12" si="34">(CE5-1)^3</f>
        <v>27</v>
      </c>
      <c r="CG5" s="15">
        <f t="shared" ref="CG5:CG12" si="35">CF5+3*CF5^(2/3)+3*CF5^(1/3)+1</f>
        <v>63.999999999999993</v>
      </c>
      <c r="CI5" s="15">
        <v>2</v>
      </c>
      <c r="CJ5" s="15" t="s">
        <v>704</v>
      </c>
      <c r="CK5" s="15">
        <f>(2^2)^3</f>
        <v>64</v>
      </c>
      <c r="CL5" s="15"/>
      <c r="CO5" s="15">
        <v>2</v>
      </c>
      <c r="CP5" s="15" t="s">
        <v>723</v>
      </c>
      <c r="CQ5" s="20">
        <f>((0.2*(2/3))/((1/2)*(1/3)))^3</f>
        <v>0.51200000000000012</v>
      </c>
      <c r="CS5" s="15">
        <v>2</v>
      </c>
      <c r="CT5" s="15">
        <v>325</v>
      </c>
      <c r="CU5" s="36" t="str">
        <f t="shared" ref="CU5:CU24" si="36">factores(CT5)</f>
        <v>13*5*5*1</v>
      </c>
      <c r="CV5" s="36" t="s">
        <v>733</v>
      </c>
      <c r="CW5" s="39">
        <f t="shared" ref="CW5:CW15" si="37">CT5^0.5</f>
        <v>18.027756377319946</v>
      </c>
    </row>
    <row r="6" spans="1:101">
      <c r="A6" s="10">
        <v>3</v>
      </c>
      <c r="B6" s="36" t="s">
        <v>659</v>
      </c>
      <c r="C6" s="15">
        <f>3^3*5^3*6^3</f>
        <v>729000</v>
      </c>
      <c r="F6" s="10">
        <v>3</v>
      </c>
      <c r="G6" s="36">
        <v>25</v>
      </c>
      <c r="H6" s="20">
        <v>49</v>
      </c>
      <c r="I6" s="37" t="str">
        <f t="shared" si="0"/>
        <v>25/49</v>
      </c>
      <c r="L6" s="10">
        <v>3</v>
      </c>
      <c r="M6" s="36">
        <v>5</v>
      </c>
      <c r="N6" s="18">
        <v>11</v>
      </c>
      <c r="O6" s="37">
        <f t="shared" si="1"/>
        <v>25</v>
      </c>
      <c r="P6" s="15">
        <f t="shared" si="2"/>
        <v>110</v>
      </c>
      <c r="Q6" s="15">
        <f t="shared" si="3"/>
        <v>121</v>
      </c>
      <c r="R6" s="15">
        <f t="shared" si="4"/>
        <v>256</v>
      </c>
      <c r="U6" s="15">
        <v>3</v>
      </c>
      <c r="V6" s="15">
        <v>50</v>
      </c>
      <c r="W6" s="15">
        <v>6</v>
      </c>
      <c r="X6" s="15">
        <f t="shared" si="5"/>
        <v>2500</v>
      </c>
      <c r="Y6" s="15">
        <f t="shared" si="6"/>
        <v>600</v>
      </c>
      <c r="Z6" s="15">
        <f t="shared" si="7"/>
        <v>36</v>
      </c>
      <c r="AA6" s="15">
        <f t="shared" si="8"/>
        <v>3136</v>
      </c>
      <c r="AC6" s="10">
        <v>3</v>
      </c>
      <c r="AD6" s="36">
        <v>18.100000000000001</v>
      </c>
      <c r="AE6" s="20">
        <v>7</v>
      </c>
      <c r="AF6" s="37">
        <f t="shared" si="9"/>
        <v>327.61000000000007</v>
      </c>
      <c r="AG6" s="17">
        <f t="shared" si="10"/>
        <v>253.40000000000003</v>
      </c>
      <c r="AH6" s="15">
        <f t="shared" si="11"/>
        <v>49</v>
      </c>
      <c r="AI6" s="24">
        <f t="shared" si="12"/>
        <v>123.21000000000004</v>
      </c>
      <c r="AL6" s="10">
        <v>3</v>
      </c>
      <c r="AM6" s="18">
        <v>2</v>
      </c>
      <c r="AN6" s="18">
        <v>9</v>
      </c>
      <c r="AO6" s="18">
        <f t="shared" si="13"/>
        <v>8</v>
      </c>
      <c r="AP6" s="18">
        <f t="shared" si="14"/>
        <v>108</v>
      </c>
      <c r="AQ6" s="18">
        <f t="shared" si="15"/>
        <v>486</v>
      </c>
      <c r="AR6" s="18">
        <f t="shared" si="16"/>
        <v>729</v>
      </c>
      <c r="AS6" s="15">
        <f t="shared" si="17"/>
        <v>1331</v>
      </c>
      <c r="AV6" s="38">
        <v>3</v>
      </c>
      <c r="AW6" s="15">
        <v>50</v>
      </c>
      <c r="AX6" s="15">
        <v>6</v>
      </c>
      <c r="AY6" s="15">
        <f t="shared" si="18"/>
        <v>125000</v>
      </c>
      <c r="AZ6" s="15">
        <f t="shared" si="19"/>
        <v>45000</v>
      </c>
      <c r="BA6" s="15">
        <f t="shared" si="20"/>
        <v>5400</v>
      </c>
      <c r="BB6" s="15">
        <f t="shared" si="21"/>
        <v>216</v>
      </c>
      <c r="BC6" s="15">
        <f t="shared" si="22"/>
        <v>175616</v>
      </c>
      <c r="BE6" s="10">
        <v>3</v>
      </c>
      <c r="BF6" s="18">
        <v>20</v>
      </c>
      <c r="BG6" s="18">
        <v>3</v>
      </c>
      <c r="BH6" s="18">
        <f t="shared" si="23"/>
        <v>8000</v>
      </c>
      <c r="BI6" s="18">
        <f t="shared" si="24"/>
        <v>3600</v>
      </c>
      <c r="BJ6" s="18">
        <f t="shared" si="25"/>
        <v>540</v>
      </c>
      <c r="BK6" s="18">
        <f t="shared" si="26"/>
        <v>27</v>
      </c>
      <c r="BL6" s="15">
        <f t="shared" si="27"/>
        <v>4913</v>
      </c>
      <c r="BO6" s="15">
        <v>3</v>
      </c>
      <c r="BP6" s="15">
        <v>8</v>
      </c>
      <c r="BQ6" s="15">
        <f t="shared" si="28"/>
        <v>9</v>
      </c>
      <c r="BR6" s="15">
        <f t="shared" si="29"/>
        <v>17</v>
      </c>
      <c r="BT6" s="15">
        <v>3</v>
      </c>
      <c r="BU6" s="15">
        <v>15</v>
      </c>
      <c r="BV6" s="15">
        <f t="shared" si="30"/>
        <v>196</v>
      </c>
      <c r="BW6" s="15">
        <f t="shared" si="31"/>
        <v>225</v>
      </c>
      <c r="BY6" s="15">
        <v>3</v>
      </c>
      <c r="BZ6" s="15">
        <v>9</v>
      </c>
      <c r="CA6" s="15">
        <f t="shared" si="32"/>
        <v>10</v>
      </c>
      <c r="CB6" s="15">
        <f t="shared" si="33"/>
        <v>271</v>
      </c>
      <c r="CD6" s="15">
        <v>3</v>
      </c>
      <c r="CE6" s="15">
        <v>7</v>
      </c>
      <c r="CF6" s="15">
        <f t="shared" si="34"/>
        <v>216</v>
      </c>
      <c r="CG6" s="15">
        <f t="shared" si="35"/>
        <v>343</v>
      </c>
      <c r="CI6" s="15">
        <v>3</v>
      </c>
      <c r="CJ6" s="15" t="s">
        <v>707</v>
      </c>
      <c r="CK6" s="15">
        <f>(2^3)^4</f>
        <v>4096</v>
      </c>
      <c r="CL6" s="15"/>
      <c r="CO6" s="15">
        <v>3</v>
      </c>
      <c r="CP6" s="15" t="s">
        <v>724</v>
      </c>
      <c r="CQ6" s="15">
        <f>((2^2*3^5*4^2)/(2^4*3^2))^2</f>
        <v>11664</v>
      </c>
      <c r="CS6" s="15">
        <v>3</v>
      </c>
      <c r="CT6" s="15">
        <v>500</v>
      </c>
      <c r="CU6" s="36" t="str">
        <f t="shared" si="36"/>
        <v>5*5*5*2*2*1</v>
      </c>
      <c r="CV6" s="36" t="s">
        <v>733</v>
      </c>
      <c r="CW6" s="39">
        <f t="shared" si="37"/>
        <v>22.360679774997898</v>
      </c>
    </row>
    <row r="7" spans="1:101">
      <c r="A7" s="10">
        <v>4</v>
      </c>
      <c r="B7" s="36" t="s">
        <v>660</v>
      </c>
      <c r="C7" s="36">
        <f>0.1^2*0.3^2</f>
        <v>9.0000000000000019E-4</v>
      </c>
      <c r="F7" s="10">
        <v>4</v>
      </c>
      <c r="G7" s="36">
        <v>1</v>
      </c>
      <c r="H7" s="20">
        <v>27</v>
      </c>
      <c r="I7" s="37" t="str">
        <f t="shared" si="0"/>
        <v>1/27</v>
      </c>
      <c r="L7" s="10">
        <v>4</v>
      </c>
      <c r="M7" s="36">
        <v>12</v>
      </c>
      <c r="N7" s="18">
        <v>15</v>
      </c>
      <c r="O7" s="37">
        <f t="shared" si="1"/>
        <v>144</v>
      </c>
      <c r="P7" s="15">
        <f t="shared" si="2"/>
        <v>360</v>
      </c>
      <c r="Q7" s="15">
        <f t="shared" si="3"/>
        <v>225</v>
      </c>
      <c r="R7" s="15">
        <f t="shared" si="4"/>
        <v>729</v>
      </c>
      <c r="U7" s="15">
        <v>4</v>
      </c>
      <c r="V7" s="15">
        <v>80</v>
      </c>
      <c r="W7" s="15">
        <v>9</v>
      </c>
      <c r="X7" s="15">
        <f t="shared" si="5"/>
        <v>6400</v>
      </c>
      <c r="Y7" s="15">
        <f t="shared" si="6"/>
        <v>1440</v>
      </c>
      <c r="Z7" s="15">
        <f t="shared" si="7"/>
        <v>81</v>
      </c>
      <c r="AA7" s="15">
        <f t="shared" si="8"/>
        <v>7921</v>
      </c>
      <c r="AC7" s="10">
        <v>4</v>
      </c>
      <c r="AD7" s="40">
        <v>0.33333333333333331</v>
      </c>
      <c r="AE7" s="20">
        <v>0.25</v>
      </c>
      <c r="AF7" s="20">
        <f t="shared" si="9"/>
        <v>0.1111111111111111</v>
      </c>
      <c r="AG7" s="20">
        <f t="shared" si="10"/>
        <v>0.16666666666666666</v>
      </c>
      <c r="AH7" s="20">
        <f t="shared" si="11"/>
        <v>6.25E-2</v>
      </c>
      <c r="AI7" s="20">
        <f t="shared" si="12"/>
        <v>6.9444444444444475E-3</v>
      </c>
      <c r="AL7" s="10">
        <v>4</v>
      </c>
      <c r="AM7" s="18">
        <v>4</v>
      </c>
      <c r="AN7" s="41">
        <v>0.1</v>
      </c>
      <c r="AO7" s="18">
        <f t="shared" si="13"/>
        <v>64</v>
      </c>
      <c r="AP7" s="18">
        <f t="shared" si="14"/>
        <v>4.8000000000000007</v>
      </c>
      <c r="AQ7" s="42">
        <f t="shared" si="15"/>
        <v>0.12000000000000002</v>
      </c>
      <c r="AR7" s="22">
        <f t="shared" si="16"/>
        <v>1.0000000000000002E-3</v>
      </c>
      <c r="AS7" s="22">
        <f t="shared" si="17"/>
        <v>68.921000000000006</v>
      </c>
      <c r="AV7" s="38">
        <v>4</v>
      </c>
      <c r="AW7" s="15">
        <v>80</v>
      </c>
      <c r="AX7" s="15">
        <v>9</v>
      </c>
      <c r="AY7" s="15">
        <f t="shared" si="18"/>
        <v>512000</v>
      </c>
      <c r="AZ7" s="15">
        <f t="shared" si="19"/>
        <v>172800</v>
      </c>
      <c r="BA7" s="15">
        <f t="shared" si="20"/>
        <v>19440</v>
      </c>
      <c r="BB7" s="15">
        <f t="shared" si="21"/>
        <v>729</v>
      </c>
      <c r="BC7" s="15">
        <f t="shared" si="22"/>
        <v>704969</v>
      </c>
      <c r="BE7" s="10">
        <v>4</v>
      </c>
      <c r="BF7" s="18">
        <v>3</v>
      </c>
      <c r="BG7" s="41">
        <v>0.1</v>
      </c>
      <c r="BH7" s="18">
        <f t="shared" si="23"/>
        <v>27</v>
      </c>
      <c r="BI7" s="41">
        <f t="shared" si="24"/>
        <v>2.7</v>
      </c>
      <c r="BJ7" s="42">
        <f t="shared" si="25"/>
        <v>9.0000000000000024E-2</v>
      </c>
      <c r="BK7" s="22">
        <f t="shared" si="26"/>
        <v>1.0000000000000002E-3</v>
      </c>
      <c r="BL7" s="22">
        <f t="shared" si="27"/>
        <v>24.388999999999999</v>
      </c>
      <c r="BO7" s="15">
        <v>4</v>
      </c>
      <c r="BP7" s="15">
        <v>10</v>
      </c>
      <c r="BQ7" s="15">
        <f t="shared" si="28"/>
        <v>11</v>
      </c>
      <c r="BR7" s="15">
        <f t="shared" si="29"/>
        <v>21</v>
      </c>
      <c r="BT7" s="15">
        <v>4</v>
      </c>
      <c r="BU7" s="15">
        <v>21</v>
      </c>
      <c r="BV7" s="15">
        <f t="shared" si="30"/>
        <v>400</v>
      </c>
      <c r="BW7" s="15">
        <f t="shared" si="31"/>
        <v>441</v>
      </c>
      <c r="BY7" s="15">
        <v>4</v>
      </c>
      <c r="BZ7" s="15">
        <v>10</v>
      </c>
      <c r="CA7" s="15">
        <f t="shared" si="32"/>
        <v>11</v>
      </c>
      <c r="CB7" s="15">
        <f t="shared" si="33"/>
        <v>331</v>
      </c>
      <c r="CD7" s="15">
        <v>4</v>
      </c>
      <c r="CE7" s="15">
        <v>10</v>
      </c>
      <c r="CF7" s="15">
        <f t="shared" si="34"/>
        <v>729</v>
      </c>
      <c r="CG7" s="15">
        <f t="shared" si="35"/>
        <v>999.99999999999989</v>
      </c>
      <c r="CI7" s="15">
        <v>4</v>
      </c>
      <c r="CJ7" s="15" t="s">
        <v>708</v>
      </c>
      <c r="CK7" s="15">
        <f>(3^3)^4</f>
        <v>531441</v>
      </c>
      <c r="CL7" s="15"/>
      <c r="CO7" s="15">
        <v>6</v>
      </c>
      <c r="CP7" s="15" t="s">
        <v>725</v>
      </c>
      <c r="CQ7" s="20">
        <f>((2^2)^3*(3^3)^2)/((3^2)^3*(2^3)^4)</f>
        <v>1.5625E-2</v>
      </c>
      <c r="CS7" s="15">
        <v>4</v>
      </c>
      <c r="CT7" s="43">
        <v>13.352</v>
      </c>
      <c r="CU7" s="36"/>
      <c r="CV7" s="36" t="s">
        <v>733</v>
      </c>
      <c r="CW7" s="39">
        <f t="shared" si="37"/>
        <v>3.6540388613149699</v>
      </c>
    </row>
    <row r="8" spans="1:101">
      <c r="A8" s="10">
        <v>5</v>
      </c>
      <c r="B8" s="36" t="s">
        <v>661</v>
      </c>
      <c r="C8" s="36">
        <f>0.1^2*7^2*0.03^2</f>
        <v>4.4100000000000009E-4</v>
      </c>
      <c r="F8" s="10">
        <v>5</v>
      </c>
      <c r="G8" s="36">
        <f>2^4</f>
        <v>16</v>
      </c>
      <c r="H8" s="20">
        <f>5^4</f>
        <v>625</v>
      </c>
      <c r="I8" s="37" t="str">
        <f t="shared" si="0"/>
        <v>16/625</v>
      </c>
      <c r="J8" s="37"/>
      <c r="L8" s="10">
        <v>5</v>
      </c>
      <c r="M8" s="36">
        <v>30</v>
      </c>
      <c r="N8" s="18">
        <v>42</v>
      </c>
      <c r="O8" s="37">
        <f t="shared" si="1"/>
        <v>900</v>
      </c>
      <c r="P8" s="15">
        <f t="shared" si="2"/>
        <v>2520</v>
      </c>
      <c r="Q8" s="15">
        <f t="shared" si="3"/>
        <v>1764</v>
      </c>
      <c r="R8" s="15">
        <f t="shared" si="4"/>
        <v>5184</v>
      </c>
      <c r="U8" s="15">
        <v>5</v>
      </c>
      <c r="V8" s="15">
        <v>90</v>
      </c>
      <c r="W8" s="15">
        <v>3</v>
      </c>
      <c r="X8" s="15">
        <f t="shared" si="5"/>
        <v>8100</v>
      </c>
      <c r="Y8" s="15">
        <f t="shared" si="6"/>
        <v>540</v>
      </c>
      <c r="Z8" s="15">
        <f t="shared" si="7"/>
        <v>9</v>
      </c>
      <c r="AA8" s="15">
        <f t="shared" si="8"/>
        <v>8649</v>
      </c>
      <c r="AC8" s="10">
        <v>5</v>
      </c>
      <c r="AD8" s="40">
        <v>0.25</v>
      </c>
      <c r="AE8" s="20">
        <v>0.125</v>
      </c>
      <c r="AF8" s="20">
        <f t="shared" si="9"/>
        <v>6.25E-2</v>
      </c>
      <c r="AG8" s="20">
        <f t="shared" si="10"/>
        <v>6.25E-2</v>
      </c>
      <c r="AH8" s="20">
        <f t="shared" si="11"/>
        <v>1.5625E-2</v>
      </c>
      <c r="AI8" s="20">
        <f t="shared" si="12"/>
        <v>1.5625E-2</v>
      </c>
      <c r="AL8" s="10">
        <v>5</v>
      </c>
      <c r="AM8" s="18">
        <v>3</v>
      </c>
      <c r="AN8" s="41">
        <v>0.2</v>
      </c>
      <c r="AO8" s="18">
        <f t="shared" si="13"/>
        <v>27</v>
      </c>
      <c r="AP8" s="41">
        <f t="shared" si="14"/>
        <v>5.4</v>
      </c>
      <c r="AQ8" s="42">
        <f t="shared" si="15"/>
        <v>0.3600000000000001</v>
      </c>
      <c r="AR8" s="22">
        <f t="shared" si="16"/>
        <v>8.0000000000000019E-3</v>
      </c>
      <c r="AS8" s="22">
        <f t="shared" si="17"/>
        <v>32.768000000000001</v>
      </c>
      <c r="AV8" s="38">
        <v>5</v>
      </c>
      <c r="AW8" s="15">
        <v>90</v>
      </c>
      <c r="AX8" s="15">
        <v>3</v>
      </c>
      <c r="AY8" s="15">
        <f t="shared" si="18"/>
        <v>729000</v>
      </c>
      <c r="AZ8" s="15">
        <f t="shared" si="19"/>
        <v>72900</v>
      </c>
      <c r="BA8" s="15">
        <f t="shared" si="20"/>
        <v>2430</v>
      </c>
      <c r="BB8" s="15">
        <f t="shared" si="21"/>
        <v>27</v>
      </c>
      <c r="BC8" s="15">
        <f t="shared" si="22"/>
        <v>804357</v>
      </c>
      <c r="BE8" s="10">
        <v>5</v>
      </c>
      <c r="BF8" s="18">
        <v>4</v>
      </c>
      <c r="BG8" s="41">
        <v>0.2</v>
      </c>
      <c r="BH8" s="18">
        <f t="shared" si="23"/>
        <v>64</v>
      </c>
      <c r="BI8" s="41">
        <f t="shared" si="24"/>
        <v>9.6000000000000014</v>
      </c>
      <c r="BJ8" s="42">
        <f t="shared" si="25"/>
        <v>0.48000000000000009</v>
      </c>
      <c r="BK8" s="22">
        <f t="shared" si="26"/>
        <v>8.0000000000000019E-3</v>
      </c>
      <c r="BL8" s="22">
        <f t="shared" si="27"/>
        <v>54.871999999999993</v>
      </c>
      <c r="BO8" s="15">
        <v>5</v>
      </c>
      <c r="BP8" s="15">
        <v>12</v>
      </c>
      <c r="BQ8" s="15">
        <f t="shared" si="28"/>
        <v>13</v>
      </c>
      <c r="BR8" s="15">
        <f t="shared" si="29"/>
        <v>25</v>
      </c>
      <c r="BT8" s="15">
        <v>5</v>
      </c>
      <c r="BU8" s="15">
        <v>18</v>
      </c>
      <c r="BV8" s="15">
        <f t="shared" si="30"/>
        <v>289</v>
      </c>
      <c r="BW8" s="15">
        <f t="shared" si="31"/>
        <v>324</v>
      </c>
      <c r="BY8" s="15">
        <v>5</v>
      </c>
      <c r="BZ8" s="15">
        <v>13</v>
      </c>
      <c r="CA8" s="15">
        <f t="shared" si="32"/>
        <v>14</v>
      </c>
      <c r="CB8" s="15">
        <f t="shared" si="33"/>
        <v>547</v>
      </c>
      <c r="CD8" s="15">
        <v>5</v>
      </c>
      <c r="CE8" s="15">
        <v>11</v>
      </c>
      <c r="CF8" s="15">
        <f t="shared" si="34"/>
        <v>1000</v>
      </c>
      <c r="CG8" s="15">
        <f t="shared" si="35"/>
        <v>1331</v>
      </c>
      <c r="CI8" s="15">
        <v>5</v>
      </c>
      <c r="CJ8" s="15" t="s">
        <v>706</v>
      </c>
      <c r="CK8" s="15">
        <f>(1^3)^5</f>
        <v>1</v>
      </c>
      <c r="CL8" s="15"/>
      <c r="CO8" s="15">
        <v>7</v>
      </c>
      <c r="CP8" s="15" t="s">
        <v>726</v>
      </c>
      <c r="CQ8" s="15">
        <f>(((2/3)^4*(3/2)^2)/(2*(1/3)^2))^2</f>
        <v>4</v>
      </c>
      <c r="CS8" s="15">
        <v>5</v>
      </c>
      <c r="CT8" s="15">
        <v>400</v>
      </c>
      <c r="CU8" s="36" t="str">
        <f t="shared" si="36"/>
        <v>5*5*2*2*2*2*1</v>
      </c>
      <c r="CV8" s="36" t="s">
        <v>734</v>
      </c>
      <c r="CW8" s="39">
        <f t="shared" si="37"/>
        <v>20</v>
      </c>
    </row>
    <row r="9" spans="1:101">
      <c r="A9" s="10">
        <v>6</v>
      </c>
      <c r="B9" s="36" t="s">
        <v>662</v>
      </c>
      <c r="C9" s="36">
        <f>3^3*4^3*0.1^3*0.2^3</f>
        <v>1.3824000000000006E-2</v>
      </c>
      <c r="F9" s="10">
        <v>6</v>
      </c>
      <c r="G9" s="36">
        <v>1</v>
      </c>
      <c r="H9" s="20">
        <f>2^5</f>
        <v>32</v>
      </c>
      <c r="I9" s="37" t="str">
        <f t="shared" si="0"/>
        <v>1/32</v>
      </c>
      <c r="L9" s="10">
        <v>6</v>
      </c>
      <c r="M9" s="40">
        <v>0.5</v>
      </c>
      <c r="N9" s="20">
        <v>0.33333333333333331</v>
      </c>
      <c r="O9" s="37">
        <f t="shared" si="1"/>
        <v>0.25</v>
      </c>
      <c r="P9" s="20">
        <f t="shared" si="2"/>
        <v>0.33333333333333331</v>
      </c>
      <c r="Q9" s="20">
        <f t="shared" si="3"/>
        <v>0.1111111111111111</v>
      </c>
      <c r="R9" s="20">
        <f t="shared" si="4"/>
        <v>0.69444444444444442</v>
      </c>
      <c r="U9" s="15">
        <v>6</v>
      </c>
      <c r="V9" s="15">
        <v>90</v>
      </c>
      <c r="W9" s="15">
        <v>7</v>
      </c>
      <c r="X9" s="15">
        <f t="shared" si="5"/>
        <v>8100</v>
      </c>
      <c r="Y9" s="15">
        <f t="shared" si="6"/>
        <v>1260</v>
      </c>
      <c r="Z9" s="15">
        <f t="shared" si="7"/>
        <v>49</v>
      </c>
      <c r="AA9" s="15">
        <f t="shared" si="8"/>
        <v>9409</v>
      </c>
      <c r="AC9" s="10">
        <v>6</v>
      </c>
      <c r="AD9" s="40">
        <v>0.6</v>
      </c>
      <c r="AE9" s="20">
        <v>0.1</v>
      </c>
      <c r="AF9" s="20">
        <f t="shared" si="9"/>
        <v>0.36</v>
      </c>
      <c r="AG9" s="20">
        <f t="shared" si="10"/>
        <v>0.12</v>
      </c>
      <c r="AH9" s="20">
        <f t="shared" si="11"/>
        <v>1.0000000000000002E-2</v>
      </c>
      <c r="AI9" s="20">
        <f t="shared" si="12"/>
        <v>0.25</v>
      </c>
      <c r="AL9" s="10">
        <v>6</v>
      </c>
      <c r="AM9" s="18">
        <v>5</v>
      </c>
      <c r="AN9" s="42">
        <v>0.02</v>
      </c>
      <c r="AO9" s="18">
        <f t="shared" si="13"/>
        <v>125</v>
      </c>
      <c r="AP9" s="41">
        <f t="shared" si="14"/>
        <v>1.5</v>
      </c>
      <c r="AQ9" s="43">
        <f t="shared" si="15"/>
        <v>6.0000000000000001E-3</v>
      </c>
      <c r="AR9" s="25">
        <f t="shared" si="16"/>
        <v>8.0000000000000013E-6</v>
      </c>
      <c r="AS9" s="25">
        <f t="shared" si="17"/>
        <v>126.50600799999999</v>
      </c>
      <c r="AV9" s="38">
        <v>6</v>
      </c>
      <c r="AW9" s="15">
        <v>90</v>
      </c>
      <c r="AX9" s="15">
        <v>7</v>
      </c>
      <c r="AY9" s="15">
        <f t="shared" si="18"/>
        <v>729000</v>
      </c>
      <c r="AZ9" s="15">
        <f t="shared" si="19"/>
        <v>170100</v>
      </c>
      <c r="BA9" s="15">
        <f t="shared" si="20"/>
        <v>13230</v>
      </c>
      <c r="BB9" s="15">
        <f t="shared" si="21"/>
        <v>343</v>
      </c>
      <c r="BC9" s="15">
        <f t="shared" si="22"/>
        <v>912673</v>
      </c>
      <c r="BE9" s="10">
        <v>6</v>
      </c>
      <c r="BF9" s="18">
        <v>6</v>
      </c>
      <c r="BG9" s="42">
        <v>0.03</v>
      </c>
      <c r="BH9" s="18">
        <f t="shared" si="23"/>
        <v>216</v>
      </c>
      <c r="BI9" s="42">
        <f t="shared" si="24"/>
        <v>3.2399999999999998</v>
      </c>
      <c r="BJ9" s="44">
        <f t="shared" si="25"/>
        <v>1.6199999999999999E-2</v>
      </c>
      <c r="BK9" s="25">
        <f t="shared" si="26"/>
        <v>2.6999999999999999E-5</v>
      </c>
      <c r="BL9" s="25">
        <f t="shared" si="27"/>
        <v>212.776173</v>
      </c>
      <c r="BO9" s="15">
        <v>6</v>
      </c>
      <c r="BP9" s="15">
        <v>15</v>
      </c>
      <c r="BQ9" s="15">
        <f t="shared" si="28"/>
        <v>16</v>
      </c>
      <c r="BR9" s="15">
        <f t="shared" si="29"/>
        <v>31</v>
      </c>
      <c r="BT9" s="15">
        <v>6</v>
      </c>
      <c r="BU9" s="15">
        <v>32</v>
      </c>
      <c r="BV9" s="15">
        <f t="shared" si="30"/>
        <v>961</v>
      </c>
      <c r="BW9" s="15">
        <f t="shared" si="31"/>
        <v>1024</v>
      </c>
      <c r="BY9" s="15">
        <v>6</v>
      </c>
      <c r="BZ9" s="15">
        <v>17</v>
      </c>
      <c r="CA9" s="15">
        <f t="shared" si="32"/>
        <v>18</v>
      </c>
      <c r="CB9" s="15">
        <f t="shared" si="33"/>
        <v>919</v>
      </c>
      <c r="CD9" s="15">
        <v>6</v>
      </c>
      <c r="CE9" s="15">
        <v>14</v>
      </c>
      <c r="CF9" s="15">
        <f t="shared" si="34"/>
        <v>2197</v>
      </c>
      <c r="CG9" s="15">
        <f t="shared" si="35"/>
        <v>2743.9999999999995</v>
      </c>
      <c r="CI9" s="15">
        <v>6</v>
      </c>
      <c r="CJ9" s="15" t="s">
        <v>705</v>
      </c>
      <c r="CK9" s="15">
        <f>(5^2)^3</f>
        <v>15625</v>
      </c>
      <c r="CL9" s="15"/>
      <c r="CO9" s="15">
        <v>8</v>
      </c>
      <c r="CP9" s="15" t="s">
        <v>727</v>
      </c>
      <c r="CQ9" s="15">
        <f>((2^3)^3)^2/(4^3)^2</f>
        <v>64</v>
      </c>
      <c r="CS9" s="15">
        <v>6</v>
      </c>
      <c r="CT9" s="15">
        <v>530</v>
      </c>
      <c r="CU9" s="36" t="str">
        <f t="shared" si="36"/>
        <v>53*5*2*1</v>
      </c>
      <c r="CV9" s="36" t="s">
        <v>733</v>
      </c>
      <c r="CW9" s="39">
        <f t="shared" si="37"/>
        <v>23.021728866442675</v>
      </c>
    </row>
    <row r="10" spans="1:101">
      <c r="A10" s="10">
        <v>7</v>
      </c>
      <c r="B10" s="36" t="s">
        <v>666</v>
      </c>
      <c r="C10" s="36">
        <f>6 ^2*2^-2*(2/3)^2</f>
        <v>4</v>
      </c>
      <c r="F10" s="10">
        <v>7</v>
      </c>
      <c r="G10" s="36">
        <v>1</v>
      </c>
      <c r="H10" s="20">
        <f>3^6</f>
        <v>729</v>
      </c>
      <c r="I10" s="37" t="str">
        <f t="shared" si="0"/>
        <v>1/729</v>
      </c>
      <c r="L10" s="10">
        <v>7</v>
      </c>
      <c r="M10" s="36">
        <v>0.5</v>
      </c>
      <c r="N10" s="20">
        <v>3.8</v>
      </c>
      <c r="O10" s="37">
        <f t="shared" si="1"/>
        <v>0.25</v>
      </c>
      <c r="P10" s="20">
        <f t="shared" si="2"/>
        <v>3.8</v>
      </c>
      <c r="Q10" s="20">
        <f t="shared" si="3"/>
        <v>14.44</v>
      </c>
      <c r="R10" s="42">
        <f t="shared" si="4"/>
        <v>18.489999999999998</v>
      </c>
      <c r="U10" s="15">
        <v>7</v>
      </c>
      <c r="V10" s="15">
        <v>100</v>
      </c>
      <c r="W10" s="15">
        <v>9</v>
      </c>
      <c r="X10" s="15">
        <f t="shared" si="5"/>
        <v>10000</v>
      </c>
      <c r="Y10" s="15">
        <f t="shared" si="6"/>
        <v>1800</v>
      </c>
      <c r="Z10" s="15">
        <f t="shared" si="7"/>
        <v>81</v>
      </c>
      <c r="AA10" s="15">
        <f t="shared" si="8"/>
        <v>11881</v>
      </c>
      <c r="AC10" s="10">
        <v>7</v>
      </c>
      <c r="AD10" s="36">
        <v>8</v>
      </c>
      <c r="AE10" s="20">
        <v>0.5</v>
      </c>
      <c r="AF10" s="37">
        <f t="shared" si="9"/>
        <v>64</v>
      </c>
      <c r="AG10" s="41">
        <f t="shared" si="10"/>
        <v>8</v>
      </c>
      <c r="AH10" s="20">
        <f t="shared" si="11"/>
        <v>0.25</v>
      </c>
      <c r="AI10" s="20">
        <f t="shared" si="12"/>
        <v>56.25</v>
      </c>
      <c r="AL10" s="10">
        <v>7</v>
      </c>
      <c r="AM10" s="40">
        <v>0.5</v>
      </c>
      <c r="AN10" s="20">
        <v>0.33333333333333331</v>
      </c>
      <c r="AO10" s="20">
        <f t="shared" si="13"/>
        <v>0.125</v>
      </c>
      <c r="AP10" s="20">
        <f t="shared" si="14"/>
        <v>0.25</v>
      </c>
      <c r="AQ10" s="20">
        <f t="shared" si="15"/>
        <v>0.16666666666666666</v>
      </c>
      <c r="AR10" s="20">
        <f t="shared" si="16"/>
        <v>3.7037037037037035E-2</v>
      </c>
      <c r="AS10" s="20">
        <f t="shared" si="17"/>
        <v>0.57870370370370372</v>
      </c>
      <c r="AV10" s="38">
        <v>7</v>
      </c>
      <c r="AW10" s="15">
        <v>100</v>
      </c>
      <c r="AX10" s="15">
        <v>9</v>
      </c>
      <c r="AY10" s="15">
        <f t="shared" si="18"/>
        <v>1000000</v>
      </c>
      <c r="AZ10" s="15">
        <f t="shared" si="19"/>
        <v>270000</v>
      </c>
      <c r="BA10" s="15">
        <f t="shared" si="20"/>
        <v>24300</v>
      </c>
      <c r="BB10" s="15">
        <f t="shared" si="21"/>
        <v>729</v>
      </c>
      <c r="BC10" s="15">
        <f t="shared" si="22"/>
        <v>1295029</v>
      </c>
      <c r="BE10" s="10">
        <v>7</v>
      </c>
      <c r="BF10" s="40">
        <v>0.33333333333333331</v>
      </c>
      <c r="BG10" s="20">
        <v>0.2</v>
      </c>
      <c r="BH10" s="20">
        <f t="shared" si="23"/>
        <v>3.7037037037037035E-2</v>
      </c>
      <c r="BI10" s="20">
        <f t="shared" si="24"/>
        <v>6.6666666666666666E-2</v>
      </c>
      <c r="BJ10" s="20">
        <f t="shared" si="25"/>
        <v>4.0000000000000008E-2</v>
      </c>
      <c r="BK10" s="20">
        <f t="shared" si="26"/>
        <v>8.0000000000000019E-3</v>
      </c>
      <c r="BL10" s="45">
        <f t="shared" si="27"/>
        <v>2.3703703703703751E-3</v>
      </c>
      <c r="BM10" s="36" t="str">
        <f>Quebrado(0,2368/GCD(2368,999000), 999000/GCD(2368,999000))</f>
        <v>8/3375</v>
      </c>
      <c r="BO10" s="15">
        <v>7</v>
      </c>
      <c r="BP10" s="15">
        <v>20</v>
      </c>
      <c r="BQ10" s="15">
        <f t="shared" si="28"/>
        <v>21</v>
      </c>
      <c r="BR10" s="15">
        <f t="shared" si="29"/>
        <v>41</v>
      </c>
      <c r="BT10" s="15">
        <v>7</v>
      </c>
      <c r="BU10" s="15">
        <v>57</v>
      </c>
      <c r="BV10" s="15">
        <f t="shared" si="30"/>
        <v>3136</v>
      </c>
      <c r="BW10" s="15">
        <f t="shared" si="31"/>
        <v>3249</v>
      </c>
      <c r="BY10" s="15">
        <v>7</v>
      </c>
      <c r="BZ10" s="15">
        <v>20</v>
      </c>
      <c r="CA10" s="15">
        <f t="shared" si="32"/>
        <v>21</v>
      </c>
      <c r="CB10" s="15">
        <f t="shared" si="33"/>
        <v>1261</v>
      </c>
      <c r="CD10" s="15">
        <v>7</v>
      </c>
      <c r="CE10" s="15">
        <v>18</v>
      </c>
      <c r="CF10" s="15">
        <f t="shared" si="34"/>
        <v>4913</v>
      </c>
      <c r="CG10" s="15">
        <f t="shared" si="35"/>
        <v>5831.9999999999991</v>
      </c>
      <c r="CI10" s="15">
        <v>7</v>
      </c>
      <c r="CJ10" s="15" t="s">
        <v>709</v>
      </c>
      <c r="CK10" s="20">
        <f>((1/2)^2)^3</f>
        <v>1.5625E-2</v>
      </c>
      <c r="CL10" s="15"/>
      <c r="CO10" s="15">
        <v>10</v>
      </c>
      <c r="CP10" s="15" t="s">
        <v>728</v>
      </c>
      <c r="CQ10" s="20">
        <f>((3*0.3*10)/(2*0.2*20))^2</f>
        <v>1.265625</v>
      </c>
      <c r="CS10" s="15">
        <v>7</v>
      </c>
      <c r="CT10" s="15">
        <v>900</v>
      </c>
      <c r="CU10" s="36" t="str">
        <f t="shared" si="36"/>
        <v>5*5*3*3*2*2*1</v>
      </c>
      <c r="CV10" s="36" t="s">
        <v>734</v>
      </c>
      <c r="CW10" s="39">
        <f t="shared" si="37"/>
        <v>30</v>
      </c>
    </row>
    <row r="11" spans="1:101">
      <c r="A11" s="10">
        <v>8</v>
      </c>
      <c r="B11" s="36" t="s">
        <v>663</v>
      </c>
      <c r="C11" s="36">
        <f>2^3*0.5^3*5^-3</f>
        <v>8.0000000000000002E-3</v>
      </c>
      <c r="F11" s="10">
        <v>8</v>
      </c>
      <c r="G11" s="36">
        <v>1</v>
      </c>
      <c r="H11" s="36">
        <f>5^7</f>
        <v>78125</v>
      </c>
      <c r="I11" s="37" t="str">
        <f t="shared" si="0"/>
        <v>1/78125</v>
      </c>
      <c r="L11" s="10">
        <v>8</v>
      </c>
      <c r="M11" s="36">
        <v>5</v>
      </c>
      <c r="N11" s="20">
        <v>0.2</v>
      </c>
      <c r="O11" s="37">
        <f t="shared" si="1"/>
        <v>25</v>
      </c>
      <c r="P11" s="18">
        <f t="shared" si="2"/>
        <v>2</v>
      </c>
      <c r="Q11" s="20">
        <f t="shared" si="3"/>
        <v>4.0000000000000008E-2</v>
      </c>
      <c r="R11" s="20">
        <f t="shared" si="4"/>
        <v>27.04</v>
      </c>
      <c r="U11" s="15">
        <v>8</v>
      </c>
      <c r="V11" s="15">
        <v>130</v>
      </c>
      <c r="W11" s="15">
        <v>1</v>
      </c>
      <c r="X11" s="15">
        <f t="shared" si="5"/>
        <v>16900</v>
      </c>
      <c r="Y11" s="15">
        <f t="shared" si="6"/>
        <v>260</v>
      </c>
      <c r="Z11" s="15">
        <f t="shared" si="7"/>
        <v>1</v>
      </c>
      <c r="AA11" s="15">
        <f t="shared" si="8"/>
        <v>17161</v>
      </c>
      <c r="AC11" s="10">
        <v>8</v>
      </c>
      <c r="AD11" s="36">
        <v>15</v>
      </c>
      <c r="AE11" s="20">
        <v>0.6</v>
      </c>
      <c r="AF11" s="37">
        <f t="shared" si="9"/>
        <v>225</v>
      </c>
      <c r="AG11" s="18">
        <f t="shared" si="10"/>
        <v>18</v>
      </c>
      <c r="AH11" s="20">
        <f t="shared" si="11"/>
        <v>0.36</v>
      </c>
      <c r="AI11" s="20">
        <f t="shared" si="12"/>
        <v>207.36</v>
      </c>
      <c r="AL11" s="10">
        <v>8</v>
      </c>
      <c r="AM11" s="40">
        <v>0.33333333333333331</v>
      </c>
      <c r="AN11" s="20">
        <v>0.25</v>
      </c>
      <c r="AO11" s="20">
        <f t="shared" si="13"/>
        <v>3.7037037037037035E-2</v>
      </c>
      <c r="AP11" s="20">
        <f t="shared" si="14"/>
        <v>8.3333333333333329E-2</v>
      </c>
      <c r="AQ11" s="20">
        <f t="shared" si="15"/>
        <v>6.25E-2</v>
      </c>
      <c r="AR11" s="20">
        <f t="shared" si="16"/>
        <v>1.5625E-2</v>
      </c>
      <c r="AS11" s="46">
        <f t="shared" si="17"/>
        <v>0.19849537037037035</v>
      </c>
      <c r="AT11" s="36" t="str">
        <f>Quebrado(0,19829687500/GCD(19829687500,99900000000), 99900000000/GCD(19829687500,99900000000))</f>
        <v>343/1728</v>
      </c>
      <c r="AV11" s="38">
        <v>8</v>
      </c>
      <c r="AW11" s="15">
        <v>130</v>
      </c>
      <c r="AX11" s="15">
        <v>1</v>
      </c>
      <c r="AY11" s="15">
        <f t="shared" si="18"/>
        <v>2197000</v>
      </c>
      <c r="AZ11" s="15">
        <f t="shared" si="19"/>
        <v>50700</v>
      </c>
      <c r="BA11" s="15">
        <f t="shared" si="20"/>
        <v>390</v>
      </c>
      <c r="BB11" s="15">
        <f t="shared" si="21"/>
        <v>1</v>
      </c>
      <c r="BC11" s="15">
        <f t="shared" si="22"/>
        <v>2248091</v>
      </c>
      <c r="BE11" s="10">
        <v>8</v>
      </c>
      <c r="BF11" s="40">
        <v>0.66666666666666663</v>
      </c>
      <c r="BG11" s="20">
        <v>0.25</v>
      </c>
      <c r="BH11" s="20">
        <f t="shared" si="23"/>
        <v>0.29629629629629628</v>
      </c>
      <c r="BI11" s="20">
        <f t="shared" si="24"/>
        <v>0.33333333333333331</v>
      </c>
      <c r="BJ11" s="20">
        <f t="shared" si="25"/>
        <v>0.125</v>
      </c>
      <c r="BK11" s="20">
        <f t="shared" si="26"/>
        <v>1.5625E-2</v>
      </c>
      <c r="BL11" s="47">
        <f t="shared" si="27"/>
        <v>7.2337962962962965E-2</v>
      </c>
      <c r="BM11" s="36" t="str">
        <f>Quebrado(0,7226562500/GCD(7226562500,99900000000), 99900000000/GCD(7226562500,99900000000))</f>
        <v>125/1728</v>
      </c>
      <c r="BO11" s="15">
        <v>8</v>
      </c>
      <c r="BP11" s="15">
        <v>23</v>
      </c>
      <c r="BQ11" s="15">
        <f t="shared" si="28"/>
        <v>24</v>
      </c>
      <c r="BR11" s="15">
        <f t="shared" si="29"/>
        <v>47</v>
      </c>
      <c r="BT11" s="15">
        <v>8</v>
      </c>
      <c r="BU11" s="15">
        <v>74</v>
      </c>
      <c r="BV11" s="15">
        <f t="shared" si="30"/>
        <v>5329</v>
      </c>
      <c r="BW11" s="15">
        <f t="shared" si="31"/>
        <v>5476</v>
      </c>
      <c r="BY11" s="15">
        <v>8</v>
      </c>
      <c r="BZ11" s="15">
        <v>30</v>
      </c>
      <c r="CA11" s="15">
        <f t="shared" si="32"/>
        <v>31</v>
      </c>
      <c r="CB11" s="15">
        <f t="shared" si="33"/>
        <v>2791</v>
      </c>
      <c r="CD11" s="15">
        <v>8</v>
      </c>
      <c r="CE11" s="15">
        <v>31</v>
      </c>
      <c r="CF11" s="15">
        <f t="shared" si="34"/>
        <v>27000</v>
      </c>
      <c r="CG11" s="15">
        <f t="shared" si="35"/>
        <v>29791</v>
      </c>
      <c r="CI11" s="15">
        <v>8</v>
      </c>
      <c r="CJ11" s="15" t="s">
        <v>710</v>
      </c>
      <c r="CK11" s="48">
        <f>(0.01^2)^3</f>
        <v>9.9999999999999998E-13</v>
      </c>
      <c r="CL11" s="15"/>
      <c r="CO11" s="15">
        <v>11</v>
      </c>
      <c r="CP11" s="15" t="s">
        <v>729</v>
      </c>
      <c r="CQ11" s="15">
        <f>(((3/4)*4*(1/6))/((5/6)*6*(1/10)))^3</f>
        <v>1</v>
      </c>
      <c r="CS11" s="15">
        <v>8</v>
      </c>
      <c r="CT11" s="15">
        <v>256</v>
      </c>
      <c r="CU11" s="36" t="str">
        <f t="shared" si="36"/>
        <v>2*2*2*2*2*2*2*2*1</v>
      </c>
      <c r="CV11" s="36" t="s">
        <v>734</v>
      </c>
      <c r="CW11" s="39">
        <f t="shared" si="37"/>
        <v>16</v>
      </c>
    </row>
    <row r="12" spans="1:101">
      <c r="A12" s="10">
        <v>9</v>
      </c>
      <c r="B12" s="36" t="s">
        <v>664</v>
      </c>
      <c r="C12" s="49">
        <f>0.1^4*0.2^4*0.4^4</f>
        <v>4.0960000000000057E-9</v>
      </c>
      <c r="F12" s="10">
        <v>9</v>
      </c>
      <c r="G12" s="36">
        <f>3^5</f>
        <v>243</v>
      </c>
      <c r="H12" s="36">
        <f>7^5</f>
        <v>16807</v>
      </c>
      <c r="I12" s="37" t="str">
        <f t="shared" si="0"/>
        <v>243/16807</v>
      </c>
      <c r="L12" s="10">
        <v>9</v>
      </c>
      <c r="M12" s="36">
        <v>6</v>
      </c>
      <c r="N12" s="20">
        <v>0.16666666666666666</v>
      </c>
      <c r="O12" s="37">
        <f t="shared" si="1"/>
        <v>36</v>
      </c>
      <c r="P12" s="18">
        <f t="shared" si="2"/>
        <v>2</v>
      </c>
      <c r="Q12" s="20">
        <f t="shared" si="3"/>
        <v>2.7777777777777776E-2</v>
      </c>
      <c r="R12" s="20">
        <f t="shared" si="4"/>
        <v>38.027777777777779</v>
      </c>
      <c r="U12" s="15">
        <v>9</v>
      </c>
      <c r="V12" s="15">
        <v>280</v>
      </c>
      <c r="W12" s="15">
        <v>1</v>
      </c>
      <c r="X12" s="15">
        <f t="shared" si="5"/>
        <v>78400</v>
      </c>
      <c r="Y12" s="15">
        <f t="shared" si="6"/>
        <v>560</v>
      </c>
      <c r="Z12" s="15">
        <f t="shared" si="7"/>
        <v>1</v>
      </c>
      <c r="AA12" s="15">
        <f t="shared" si="8"/>
        <v>78961</v>
      </c>
      <c r="AC12" s="10">
        <v>9</v>
      </c>
      <c r="AD12" s="36">
        <v>20</v>
      </c>
      <c r="AE12" s="20">
        <v>0.17499999999999999</v>
      </c>
      <c r="AF12" s="37">
        <f t="shared" si="9"/>
        <v>400</v>
      </c>
      <c r="AG12" s="18">
        <f t="shared" si="10"/>
        <v>7</v>
      </c>
      <c r="AH12" s="23">
        <f t="shared" si="11"/>
        <v>3.0624999999999996E-2</v>
      </c>
      <c r="AI12" s="25">
        <f t="shared" si="12"/>
        <v>393.03062499999999</v>
      </c>
      <c r="AJ12" s="10" t="str">
        <f>CONCATENATE("393   ",Quebrado(0,30625/GCD(30625,1000000),1000000/GCD(30625,1000000)))</f>
        <v>393   49/1600</v>
      </c>
      <c r="AL12" s="10">
        <v>9</v>
      </c>
      <c r="AM12" s="40">
        <v>1.5</v>
      </c>
      <c r="AN12" s="20">
        <v>0.66666666666666663</v>
      </c>
      <c r="AO12" s="20">
        <f t="shared" si="13"/>
        <v>3.375</v>
      </c>
      <c r="AP12" s="20">
        <f t="shared" si="14"/>
        <v>4.5</v>
      </c>
      <c r="AQ12" s="18">
        <f t="shared" si="15"/>
        <v>2</v>
      </c>
      <c r="AR12" s="20">
        <f t="shared" si="16"/>
        <v>0.29629629629629628</v>
      </c>
      <c r="AS12" s="20">
        <f t="shared" si="17"/>
        <v>10.171296296296296</v>
      </c>
      <c r="AT12" s="36"/>
      <c r="AV12" s="38">
        <v>9</v>
      </c>
      <c r="AW12" s="15">
        <v>150</v>
      </c>
      <c r="AX12" s="15">
        <v>3</v>
      </c>
      <c r="AY12" s="15">
        <f t="shared" si="18"/>
        <v>3375000</v>
      </c>
      <c r="AZ12" s="15">
        <f t="shared" si="19"/>
        <v>202500</v>
      </c>
      <c r="BA12" s="15">
        <f t="shared" si="20"/>
        <v>4050</v>
      </c>
      <c r="BB12" s="15">
        <f t="shared" si="21"/>
        <v>27</v>
      </c>
      <c r="BC12" s="15">
        <f t="shared" si="22"/>
        <v>3581577</v>
      </c>
      <c r="BE12" s="10">
        <v>9</v>
      </c>
      <c r="BF12" s="40">
        <v>1.75</v>
      </c>
      <c r="BG12" s="20">
        <v>0.66666666666666663</v>
      </c>
      <c r="BH12" s="20">
        <f t="shared" si="23"/>
        <v>5.359375</v>
      </c>
      <c r="BI12" s="20">
        <f t="shared" si="24"/>
        <v>6.125</v>
      </c>
      <c r="BJ12" s="18">
        <f t="shared" si="25"/>
        <v>2.333333333333333</v>
      </c>
      <c r="BK12" s="20">
        <f t="shared" si="26"/>
        <v>0.29629629629629628</v>
      </c>
      <c r="BL12" s="48">
        <f t="shared" si="27"/>
        <v>1.2714120370370368</v>
      </c>
      <c r="BM12" s="36" t="str">
        <f>CONCATENATE("1   ",Quebrado(0,271140625/GCD(271140625,999000000),999000000/GCD(271140625,999000000)))</f>
        <v>1   469/1728</v>
      </c>
      <c r="BO12" s="15">
        <v>9</v>
      </c>
      <c r="BP12" s="15">
        <v>30</v>
      </c>
      <c r="BQ12" s="15">
        <f t="shared" si="28"/>
        <v>31</v>
      </c>
      <c r="BR12" s="15">
        <f t="shared" si="29"/>
        <v>61</v>
      </c>
      <c r="BT12" s="15">
        <v>9</v>
      </c>
      <c r="BU12" s="15">
        <v>102</v>
      </c>
      <c r="BV12" s="15">
        <f t="shared" si="30"/>
        <v>10201</v>
      </c>
      <c r="BW12" s="15">
        <f t="shared" si="31"/>
        <v>10404</v>
      </c>
      <c r="BY12" s="15">
        <v>9</v>
      </c>
      <c r="BZ12" s="15">
        <v>50</v>
      </c>
      <c r="CA12" s="15">
        <f t="shared" si="32"/>
        <v>51</v>
      </c>
      <c r="CB12" s="15">
        <f t="shared" si="33"/>
        <v>7651</v>
      </c>
      <c r="CD12" s="15">
        <v>9</v>
      </c>
      <c r="CE12" s="15">
        <v>101</v>
      </c>
      <c r="CF12" s="15">
        <f t="shared" si="34"/>
        <v>1000000</v>
      </c>
      <c r="CG12" s="15">
        <f t="shared" si="35"/>
        <v>1030301</v>
      </c>
      <c r="CI12" s="15">
        <v>9</v>
      </c>
      <c r="CJ12" s="15" t="s">
        <v>711</v>
      </c>
      <c r="CK12" s="15">
        <v>1</v>
      </c>
      <c r="CL12" s="15">
        <f>(4^2)^4</f>
        <v>65536</v>
      </c>
      <c r="CM12" s="36" t="str">
        <f>Quebrado(0,CK12/GCD(CK12,CL12), CL12/GCD(CK12,CL12))</f>
        <v>1/65536</v>
      </c>
      <c r="CO12" s="15">
        <v>12</v>
      </c>
      <c r="CP12" s="15" t="s">
        <v>730</v>
      </c>
      <c r="CQ12" s="15">
        <f>((3^3*(1/3)^3)/(2^3*(1/2)^3*(1/3)^2))^2</f>
        <v>81</v>
      </c>
      <c r="CS12" s="15">
        <v>9</v>
      </c>
      <c r="CT12" s="16">
        <v>19.296299999999999</v>
      </c>
      <c r="CU12" s="36"/>
      <c r="CV12" s="36" t="s">
        <v>733</v>
      </c>
      <c r="CW12" s="39">
        <f t="shared" si="37"/>
        <v>4.392755399518621</v>
      </c>
    </row>
    <row r="13" spans="1:101">
      <c r="A13" s="10">
        <v>10</v>
      </c>
      <c r="B13" s="36" t="s">
        <v>665</v>
      </c>
      <c r="C13" s="36">
        <f>4^-4*4^4*2^-4*6^4</f>
        <v>81</v>
      </c>
      <c r="F13" s="10">
        <v>10</v>
      </c>
      <c r="G13" s="36">
        <v>1</v>
      </c>
      <c r="H13" s="36">
        <f>4^10</f>
        <v>1048576</v>
      </c>
      <c r="I13" s="37" t="str">
        <f t="shared" si="0"/>
        <v>1/1048576</v>
      </c>
      <c r="L13" s="10">
        <v>10</v>
      </c>
      <c r="M13" s="36">
        <v>0.1</v>
      </c>
      <c r="N13" s="20">
        <v>0.83333333333333337</v>
      </c>
      <c r="O13" s="37">
        <f t="shared" si="1"/>
        <v>1.0000000000000002E-2</v>
      </c>
      <c r="P13" s="20">
        <f t="shared" si="2"/>
        <v>0.16666666666666669</v>
      </c>
      <c r="Q13" s="20">
        <f t="shared" si="3"/>
        <v>0.69444444444444453</v>
      </c>
      <c r="R13" s="20">
        <f t="shared" si="4"/>
        <v>0.87111111111111117</v>
      </c>
      <c r="U13" s="15">
        <v>10</v>
      </c>
      <c r="V13" s="15">
        <v>380</v>
      </c>
      <c r="W13" s="15">
        <v>5</v>
      </c>
      <c r="X13" s="15">
        <f t="shared" si="5"/>
        <v>144400</v>
      </c>
      <c r="Y13" s="15">
        <f t="shared" si="6"/>
        <v>3800</v>
      </c>
      <c r="Z13" s="15">
        <f t="shared" si="7"/>
        <v>25</v>
      </c>
      <c r="AA13" s="15">
        <f t="shared" si="8"/>
        <v>148225</v>
      </c>
      <c r="AC13" s="10">
        <v>10</v>
      </c>
      <c r="AD13" s="36">
        <v>0.7</v>
      </c>
      <c r="AE13" s="43">
        <v>3.0000000000000001E-3</v>
      </c>
      <c r="AF13" s="23">
        <f t="shared" si="9"/>
        <v>0.48999999999999994</v>
      </c>
      <c r="AG13" s="44">
        <f t="shared" si="10"/>
        <v>4.1999999999999997E-3</v>
      </c>
      <c r="AH13" s="23">
        <f t="shared" si="11"/>
        <v>9.0000000000000002E-6</v>
      </c>
      <c r="AI13" s="25">
        <f t="shared" si="12"/>
        <v>0.48580899999999994</v>
      </c>
      <c r="AL13" s="10">
        <v>10</v>
      </c>
      <c r="AM13" s="36">
        <v>0.04</v>
      </c>
      <c r="AN13" s="43">
        <v>0.1</v>
      </c>
      <c r="AO13" s="23">
        <f t="shared" si="13"/>
        <v>6.4000000000000011E-5</v>
      </c>
      <c r="AP13" s="50">
        <f t="shared" si="14"/>
        <v>4.8000000000000007E-4</v>
      </c>
      <c r="AQ13" s="44">
        <f t="shared" si="15"/>
        <v>1.2000000000000001E-3</v>
      </c>
      <c r="AR13" s="22">
        <f t="shared" si="16"/>
        <v>1.0000000000000002E-3</v>
      </c>
      <c r="AS13" s="25">
        <f t="shared" si="17"/>
        <v>2.7440000000000008E-3</v>
      </c>
      <c r="AT13" s="36"/>
      <c r="AV13" s="38">
        <v>10</v>
      </c>
      <c r="AW13" s="15">
        <v>160</v>
      </c>
      <c r="AX13" s="15">
        <v>2</v>
      </c>
      <c r="AY13" s="15">
        <f t="shared" si="18"/>
        <v>4096000</v>
      </c>
      <c r="AZ13" s="15">
        <f t="shared" si="19"/>
        <v>153600</v>
      </c>
      <c r="BA13" s="15">
        <f t="shared" si="20"/>
        <v>1920</v>
      </c>
      <c r="BB13" s="15">
        <f t="shared" si="21"/>
        <v>8</v>
      </c>
      <c r="BC13" s="15">
        <f t="shared" si="22"/>
        <v>4251528</v>
      </c>
      <c r="BE13" s="10">
        <v>10</v>
      </c>
      <c r="BF13" s="36">
        <v>3.6</v>
      </c>
      <c r="BG13" s="41">
        <v>2.1</v>
      </c>
      <c r="BH13" s="43">
        <f t="shared" si="23"/>
        <v>46.656000000000006</v>
      </c>
      <c r="BI13" s="43">
        <f t="shared" si="24"/>
        <v>81.64800000000001</v>
      </c>
      <c r="BJ13" s="43">
        <f t="shared" si="25"/>
        <v>47.628000000000007</v>
      </c>
      <c r="BK13" s="22">
        <f t="shared" si="26"/>
        <v>9.261000000000001</v>
      </c>
      <c r="BL13" s="22">
        <f t="shared" si="27"/>
        <v>3.3750000000000018</v>
      </c>
      <c r="BM13" s="36"/>
      <c r="BO13" s="15">
        <v>10</v>
      </c>
      <c r="BP13" s="15">
        <v>50</v>
      </c>
      <c r="BQ13" s="15">
        <f t="shared" si="28"/>
        <v>51</v>
      </c>
      <c r="BR13" s="15">
        <f t="shared" si="29"/>
        <v>101</v>
      </c>
      <c r="BT13" s="15"/>
      <c r="BU13" s="15"/>
      <c r="BV13" s="15"/>
      <c r="BW13" s="15"/>
      <c r="BY13" s="15">
        <v>10</v>
      </c>
      <c r="BZ13" s="15">
        <v>100</v>
      </c>
      <c r="CA13" s="15">
        <f t="shared" si="32"/>
        <v>101</v>
      </c>
      <c r="CB13" s="15">
        <f t="shared" si="33"/>
        <v>30301</v>
      </c>
      <c r="CI13" s="15">
        <v>10</v>
      </c>
      <c r="CJ13" s="15" t="s">
        <v>712</v>
      </c>
      <c r="CK13" s="10">
        <f>((3^2)^3)^2</f>
        <v>531441</v>
      </c>
      <c r="CM13" s="36"/>
      <c r="CO13" s="15"/>
      <c r="CP13" s="15"/>
      <c r="CS13" s="15">
        <v>10</v>
      </c>
      <c r="CT13" s="15">
        <v>70000</v>
      </c>
      <c r="CU13" s="36" t="str">
        <f t="shared" si="36"/>
        <v>7*5*5*5*5*2*2*2*2*1</v>
      </c>
      <c r="CV13" s="36" t="s">
        <v>733</v>
      </c>
      <c r="CW13" s="39">
        <f t="shared" si="37"/>
        <v>264.57513110645908</v>
      </c>
    </row>
    <row r="14" spans="1:101">
      <c r="A14" s="10">
        <v>11</v>
      </c>
      <c r="B14" s="36" t="s">
        <v>671</v>
      </c>
      <c r="C14" s="51" t="s">
        <v>673</v>
      </c>
      <c r="D14" s="10" t="s">
        <v>667</v>
      </c>
      <c r="F14" s="10">
        <v>11</v>
      </c>
      <c r="G14" s="36">
        <f>3^2</f>
        <v>9</v>
      </c>
      <c r="H14" s="20">
        <f>2^2</f>
        <v>4</v>
      </c>
      <c r="I14" s="37" t="str">
        <f t="shared" si="0"/>
        <v>9/4</v>
      </c>
      <c r="L14" s="10">
        <v>11</v>
      </c>
      <c r="M14" s="36">
        <v>0.3</v>
      </c>
      <c r="N14" s="20">
        <v>0.66666666666666663</v>
      </c>
      <c r="O14" s="37">
        <f t="shared" si="1"/>
        <v>0.09</v>
      </c>
      <c r="P14" s="20">
        <f t="shared" si="2"/>
        <v>0.39999999999999997</v>
      </c>
      <c r="Q14" s="20">
        <f t="shared" si="3"/>
        <v>0.44444444444444442</v>
      </c>
      <c r="R14" s="20">
        <f t="shared" si="4"/>
        <v>0.93444444444444441</v>
      </c>
      <c r="U14" s="15">
        <v>11</v>
      </c>
      <c r="V14" s="15">
        <v>530</v>
      </c>
      <c r="W14" s="15">
        <v>6</v>
      </c>
      <c r="X14" s="15">
        <f t="shared" si="5"/>
        <v>280900</v>
      </c>
      <c r="Y14" s="15">
        <f t="shared" si="6"/>
        <v>6360</v>
      </c>
      <c r="Z14" s="15">
        <f t="shared" si="7"/>
        <v>36</v>
      </c>
      <c r="AA14" s="15">
        <f t="shared" si="8"/>
        <v>287296</v>
      </c>
      <c r="AC14" s="10">
        <v>11</v>
      </c>
      <c r="AD14" s="36">
        <v>2.14</v>
      </c>
      <c r="AE14" s="20">
        <v>1.25</v>
      </c>
      <c r="AF14" s="37">
        <f t="shared" si="9"/>
        <v>4.5796000000000001</v>
      </c>
      <c r="AG14" s="20">
        <f t="shared" si="10"/>
        <v>5.3500000000000005</v>
      </c>
      <c r="AH14" s="20">
        <f t="shared" si="11"/>
        <v>1.5625</v>
      </c>
      <c r="AI14" s="16">
        <f t="shared" si="12"/>
        <v>0.79209999999999958</v>
      </c>
      <c r="AL14" s="10">
        <v>11</v>
      </c>
      <c r="AM14" s="40">
        <v>0.2</v>
      </c>
      <c r="AN14" s="20">
        <v>0.3</v>
      </c>
      <c r="AO14" s="20">
        <f t="shared" si="13"/>
        <v>8.0000000000000019E-3</v>
      </c>
      <c r="AP14" s="20">
        <f t="shared" si="14"/>
        <v>3.6000000000000004E-2</v>
      </c>
      <c r="AQ14" s="20">
        <f t="shared" si="15"/>
        <v>5.4000000000000006E-2</v>
      </c>
      <c r="AR14" s="43">
        <f t="shared" si="16"/>
        <v>2.7E-2</v>
      </c>
      <c r="AS14" s="20">
        <f t="shared" si="17"/>
        <v>0.125</v>
      </c>
      <c r="AT14" s="36"/>
      <c r="AV14" s="38">
        <v>11</v>
      </c>
      <c r="AW14" s="15">
        <v>280</v>
      </c>
      <c r="AX14" s="15">
        <v>1</v>
      </c>
      <c r="AY14" s="15">
        <f t="shared" si="18"/>
        <v>21952000</v>
      </c>
      <c r="AZ14" s="15">
        <f t="shared" si="19"/>
        <v>235200</v>
      </c>
      <c r="BA14" s="15">
        <f t="shared" si="20"/>
        <v>840</v>
      </c>
      <c r="BB14" s="15">
        <f t="shared" si="21"/>
        <v>1</v>
      </c>
      <c r="BC14" s="15">
        <f t="shared" si="22"/>
        <v>22188041</v>
      </c>
      <c r="BE14" s="10">
        <v>11</v>
      </c>
      <c r="BF14" s="40">
        <v>0.6</v>
      </c>
      <c r="BG14" s="41">
        <v>0.3</v>
      </c>
      <c r="BH14" s="20">
        <f t="shared" si="23"/>
        <v>0.216</v>
      </c>
      <c r="BI14" s="20">
        <f t="shared" si="24"/>
        <v>0.32400000000000001</v>
      </c>
      <c r="BJ14" s="20">
        <f t="shared" si="25"/>
        <v>0.16199999999999998</v>
      </c>
      <c r="BK14" s="43">
        <f t="shared" si="26"/>
        <v>2.7E-2</v>
      </c>
      <c r="BL14" s="22">
        <f t="shared" si="27"/>
        <v>2.6999999999999965E-2</v>
      </c>
      <c r="BM14" s="51" t="s">
        <v>690</v>
      </c>
      <c r="BO14" s="15">
        <v>11</v>
      </c>
      <c r="BP14" s="15">
        <v>62</v>
      </c>
      <c r="BQ14" s="15">
        <f t="shared" si="28"/>
        <v>63</v>
      </c>
      <c r="BR14" s="15">
        <f t="shared" si="29"/>
        <v>125</v>
      </c>
      <c r="BT14" s="15"/>
      <c r="BU14" s="15"/>
      <c r="BV14" s="15"/>
      <c r="BW14" s="15"/>
      <c r="BY14" s="15">
        <v>11</v>
      </c>
      <c r="BZ14" s="15">
        <v>201</v>
      </c>
      <c r="CA14" s="15">
        <f t="shared" si="32"/>
        <v>202</v>
      </c>
      <c r="CB14" s="15">
        <f t="shared" si="33"/>
        <v>121807</v>
      </c>
      <c r="CI14" s="15">
        <v>13</v>
      </c>
      <c r="CJ14" s="15" t="s">
        <v>714</v>
      </c>
      <c r="CK14" s="15">
        <f>((2*3)^2)^2</f>
        <v>1296</v>
      </c>
      <c r="CM14" s="36"/>
      <c r="CO14" s="15"/>
      <c r="CP14" s="15"/>
      <c r="CQ14" s="15"/>
      <c r="CS14" s="15">
        <v>11</v>
      </c>
      <c r="CT14" s="15">
        <v>8400</v>
      </c>
      <c r="CU14" s="36" t="str">
        <f t="shared" si="36"/>
        <v>7*5*5*3*2*2*2*2*1</v>
      </c>
      <c r="CV14" s="36" t="s">
        <v>733</v>
      </c>
      <c r="CW14" s="39">
        <f t="shared" si="37"/>
        <v>91.651513899116793</v>
      </c>
    </row>
    <row r="15" spans="1:101">
      <c r="A15" s="10">
        <v>12</v>
      </c>
      <c r="B15" s="36" t="s">
        <v>672</v>
      </c>
      <c r="C15" s="36">
        <f>(5/6)^6*(6/5)^6*0.3^6*(20/3)^6</f>
        <v>64.000000000000057</v>
      </c>
      <c r="F15" s="10">
        <v>12</v>
      </c>
      <c r="G15" s="36">
        <f>7^3</f>
        <v>343</v>
      </c>
      <c r="H15" s="20">
        <f>3^3</f>
        <v>27</v>
      </c>
      <c r="I15" s="37" t="str">
        <f t="shared" si="0"/>
        <v>343/27</v>
      </c>
      <c r="J15" s="19">
        <f>343/27</f>
        <v>12.703703703703704</v>
      </c>
      <c r="L15" s="10">
        <v>12</v>
      </c>
      <c r="M15" s="40">
        <v>3.5</v>
      </c>
      <c r="N15" s="20">
        <v>5.25</v>
      </c>
      <c r="O15" s="37">
        <f t="shared" si="1"/>
        <v>12.25</v>
      </c>
      <c r="P15" s="20">
        <f t="shared" si="2"/>
        <v>36.75</v>
      </c>
      <c r="Q15" s="20">
        <f t="shared" si="3"/>
        <v>27.5625</v>
      </c>
      <c r="R15" s="20">
        <f t="shared" si="4"/>
        <v>76.5625</v>
      </c>
      <c r="U15" s="15">
        <v>12</v>
      </c>
      <c r="V15" s="15">
        <v>620</v>
      </c>
      <c r="W15" s="15">
        <v>1</v>
      </c>
      <c r="X15" s="15">
        <f t="shared" si="5"/>
        <v>384400</v>
      </c>
      <c r="Y15" s="15">
        <f t="shared" si="6"/>
        <v>1240</v>
      </c>
      <c r="Z15" s="15">
        <f t="shared" si="7"/>
        <v>1</v>
      </c>
      <c r="AA15" s="15">
        <f t="shared" si="8"/>
        <v>385641</v>
      </c>
      <c r="AC15" s="10">
        <v>12</v>
      </c>
      <c r="AD15" s="40">
        <v>2.5</v>
      </c>
      <c r="AE15" s="20">
        <v>1.25</v>
      </c>
      <c r="AF15" s="37">
        <f t="shared" si="9"/>
        <v>6.25</v>
      </c>
      <c r="AG15" s="20">
        <f t="shared" si="10"/>
        <v>6.25</v>
      </c>
      <c r="AH15" s="20">
        <f t="shared" si="11"/>
        <v>1.5625</v>
      </c>
      <c r="AI15" s="20">
        <f t="shared" si="12"/>
        <v>1.5625</v>
      </c>
      <c r="AL15" s="10">
        <v>12</v>
      </c>
      <c r="AM15" s="40">
        <v>2.25</v>
      </c>
      <c r="AN15" s="20">
        <v>1.4</v>
      </c>
      <c r="AO15" s="20">
        <f t="shared" si="13"/>
        <v>11.390625</v>
      </c>
      <c r="AP15" s="20">
        <f t="shared" si="14"/>
        <v>21.262499999999999</v>
      </c>
      <c r="AQ15" s="20">
        <f t="shared" si="15"/>
        <v>13.229999999999999</v>
      </c>
      <c r="AR15" s="20">
        <f t="shared" si="16"/>
        <v>2.7439999999999993</v>
      </c>
      <c r="AS15" s="25">
        <f t="shared" si="17"/>
        <v>48.627124999999999</v>
      </c>
      <c r="AT15" s="36" t="str">
        <f>CONCATENATE("48   ",Quebrado(0,627125/GCD(627125,1000000),1000000/GCD(627125,1000000)))</f>
        <v>48   5017/8000</v>
      </c>
      <c r="AV15" s="38">
        <v>12</v>
      </c>
      <c r="AW15" s="15">
        <v>380</v>
      </c>
      <c r="AX15" s="15">
        <v>5</v>
      </c>
      <c r="AY15" s="15">
        <f t="shared" si="18"/>
        <v>54872000</v>
      </c>
      <c r="AZ15" s="15">
        <f t="shared" si="19"/>
        <v>2166000</v>
      </c>
      <c r="BA15" s="15">
        <f t="shared" si="20"/>
        <v>28500</v>
      </c>
      <c r="BB15" s="15">
        <f t="shared" si="21"/>
        <v>125</v>
      </c>
      <c r="BC15" s="15">
        <f t="shared" si="22"/>
        <v>57066625</v>
      </c>
      <c r="BE15" s="10">
        <v>12</v>
      </c>
      <c r="BF15" s="40">
        <v>3.3333333333333335</v>
      </c>
      <c r="BG15" s="20">
        <v>1.1666666666666667</v>
      </c>
      <c r="BH15" s="20">
        <f t="shared" si="23"/>
        <v>37.037037037037045</v>
      </c>
      <c r="BI15" s="20">
        <f t="shared" si="24"/>
        <v>38.888888888888893</v>
      </c>
      <c r="BJ15" s="20">
        <f t="shared" si="25"/>
        <v>13.611111111111114</v>
      </c>
      <c r="BK15" s="20">
        <f t="shared" si="26"/>
        <v>1.5879629629629635</v>
      </c>
      <c r="BL15" s="20">
        <f t="shared" si="27"/>
        <v>10.171296296296303</v>
      </c>
      <c r="BM15" s="36"/>
      <c r="BO15" s="15">
        <v>12</v>
      </c>
      <c r="BP15" s="15">
        <v>101</v>
      </c>
      <c r="BQ15" s="15">
        <f t="shared" si="28"/>
        <v>102</v>
      </c>
      <c r="BR15" s="15">
        <f t="shared" si="29"/>
        <v>203</v>
      </c>
      <c r="BT15" s="15"/>
      <c r="BU15" s="15"/>
      <c r="BV15" s="15"/>
      <c r="BW15" s="15"/>
      <c r="BY15" s="15">
        <v>12</v>
      </c>
      <c r="BZ15" s="15">
        <v>500</v>
      </c>
      <c r="CA15" s="15">
        <f t="shared" si="32"/>
        <v>501</v>
      </c>
      <c r="CB15" s="15">
        <f t="shared" si="33"/>
        <v>751501</v>
      </c>
      <c r="CI15" s="15">
        <v>16</v>
      </c>
      <c r="CJ15" s="15" t="s">
        <v>716</v>
      </c>
      <c r="CK15" s="52">
        <f>((0.2^2)^2)^4</f>
        <v>6.5536000000000112E-12</v>
      </c>
      <c r="CM15" s="36"/>
      <c r="CO15" s="15"/>
      <c r="CP15" s="15"/>
      <c r="CQ15" s="52"/>
      <c r="CS15" s="15">
        <v>12</v>
      </c>
      <c r="CT15" s="15">
        <v>1425</v>
      </c>
      <c r="CU15" s="36" t="str">
        <f t="shared" si="36"/>
        <v>19*5*5*3*1</v>
      </c>
      <c r="CV15" s="36" t="s">
        <v>733</v>
      </c>
      <c r="CW15" s="39">
        <f t="shared" si="37"/>
        <v>37.749172176353746</v>
      </c>
    </row>
    <row r="16" spans="1:101">
      <c r="B16" s="36"/>
      <c r="C16" s="51"/>
      <c r="F16" s="10">
        <v>13</v>
      </c>
      <c r="G16" s="36">
        <f>14^3</f>
        <v>2744</v>
      </c>
      <c r="H16" s="20">
        <f>3^3</f>
        <v>27</v>
      </c>
      <c r="I16" s="37" t="str">
        <f t="shared" si="0"/>
        <v>2744/27</v>
      </c>
      <c r="J16" s="19">
        <f>2744/27</f>
        <v>101.62962962962963</v>
      </c>
      <c r="L16" s="10">
        <v>13</v>
      </c>
      <c r="M16" s="40">
        <v>1.3333333333333333</v>
      </c>
      <c r="N16" s="20">
        <v>2.6</v>
      </c>
      <c r="O16" s="37">
        <f t="shared" si="1"/>
        <v>1.7777777777777777</v>
      </c>
      <c r="P16" s="20">
        <f t="shared" si="2"/>
        <v>6.9333333333333336</v>
      </c>
      <c r="Q16" s="20">
        <f t="shared" si="3"/>
        <v>6.7600000000000007</v>
      </c>
      <c r="R16" s="20">
        <f t="shared" si="4"/>
        <v>15.471111111111114</v>
      </c>
      <c r="U16" s="15">
        <v>13</v>
      </c>
      <c r="V16" s="15">
        <v>780</v>
      </c>
      <c r="W16" s="15">
        <v>4</v>
      </c>
      <c r="X16" s="15">
        <f t="shared" si="5"/>
        <v>608400</v>
      </c>
      <c r="Y16" s="15">
        <f t="shared" si="6"/>
        <v>6240</v>
      </c>
      <c r="Z16" s="15">
        <f t="shared" si="7"/>
        <v>16</v>
      </c>
      <c r="AA16" s="15">
        <f t="shared" si="8"/>
        <v>614656</v>
      </c>
      <c r="AC16" s="10">
        <v>13</v>
      </c>
      <c r="AD16" s="40">
        <v>5.2</v>
      </c>
      <c r="AE16" s="20">
        <v>0.2</v>
      </c>
      <c r="AF16" s="37">
        <f t="shared" si="9"/>
        <v>27.040000000000003</v>
      </c>
      <c r="AG16" s="20">
        <f t="shared" si="10"/>
        <v>2.08</v>
      </c>
      <c r="AH16" s="20">
        <f t="shared" si="11"/>
        <v>4.0000000000000008E-2</v>
      </c>
      <c r="AI16" s="15">
        <f t="shared" si="12"/>
        <v>25</v>
      </c>
      <c r="AL16" s="10">
        <v>13</v>
      </c>
      <c r="AM16" s="40">
        <v>3.25</v>
      </c>
      <c r="AN16" s="20">
        <v>0.5</v>
      </c>
      <c r="AO16" s="20">
        <f t="shared" si="13"/>
        <v>34.328125</v>
      </c>
      <c r="AP16" s="20">
        <f t="shared" si="14"/>
        <v>15.84375</v>
      </c>
      <c r="AQ16" s="20">
        <f t="shared" si="15"/>
        <v>2.4375</v>
      </c>
      <c r="AR16" s="20">
        <f t="shared" si="16"/>
        <v>0.125</v>
      </c>
      <c r="AS16" s="20">
        <f t="shared" si="17"/>
        <v>52.734375</v>
      </c>
      <c r="AV16" s="38">
        <v>13</v>
      </c>
      <c r="AW16" s="15">
        <v>530</v>
      </c>
      <c r="AX16" s="15">
        <v>6</v>
      </c>
      <c r="AY16" s="15">
        <f t="shared" si="18"/>
        <v>148877000</v>
      </c>
      <c r="AZ16" s="15">
        <f t="shared" si="19"/>
        <v>5056200</v>
      </c>
      <c r="BA16" s="15">
        <f t="shared" si="20"/>
        <v>57240</v>
      </c>
      <c r="BB16" s="15">
        <f t="shared" si="21"/>
        <v>216</v>
      </c>
      <c r="BC16" s="15">
        <f t="shared" si="22"/>
        <v>153990656</v>
      </c>
      <c r="BE16" s="10">
        <v>13</v>
      </c>
      <c r="BF16" s="40">
        <v>7.25</v>
      </c>
      <c r="BG16" s="20">
        <v>0.5</v>
      </c>
      <c r="BH16" s="20">
        <f t="shared" si="23"/>
        <v>381.078125</v>
      </c>
      <c r="BI16" s="20">
        <f t="shared" si="24"/>
        <v>78.84375</v>
      </c>
      <c r="BJ16" s="20">
        <f t="shared" si="25"/>
        <v>5.4375</v>
      </c>
      <c r="BK16" s="20">
        <f t="shared" si="26"/>
        <v>0.125</v>
      </c>
      <c r="BL16" s="20">
        <f t="shared" si="27"/>
        <v>307.546875</v>
      </c>
      <c r="BO16" s="15">
        <v>13</v>
      </c>
      <c r="BP16" s="15">
        <v>400</v>
      </c>
      <c r="BQ16" s="15">
        <f t="shared" si="28"/>
        <v>401</v>
      </c>
      <c r="BR16" s="15">
        <f t="shared" si="29"/>
        <v>801</v>
      </c>
      <c r="BT16" s="15"/>
      <c r="BU16" s="15"/>
      <c r="BV16" s="15"/>
      <c r="BW16" s="15"/>
      <c r="CI16" s="15">
        <v>17</v>
      </c>
      <c r="CJ16" s="15" t="s">
        <v>717</v>
      </c>
      <c r="CK16" s="53">
        <f>((0.3^2)^3)^2</f>
        <v>5.3144099999999987E-7</v>
      </c>
      <c r="CM16" s="36"/>
      <c r="CO16" s="15"/>
      <c r="CP16" s="15"/>
      <c r="CQ16" s="53"/>
      <c r="CS16" s="15">
        <v>13</v>
      </c>
      <c r="CT16" s="15">
        <v>324</v>
      </c>
      <c r="CU16" s="36" t="str">
        <f t="shared" si="36"/>
        <v>3*3*3*3*2*2*1</v>
      </c>
      <c r="CV16" s="36" t="s">
        <v>733</v>
      </c>
      <c r="CW16" s="39">
        <f>CT16^(1/3)</f>
        <v>6.8682854553199908</v>
      </c>
    </row>
    <row r="17" spans="2:101">
      <c r="B17" s="36"/>
      <c r="C17" s="51"/>
      <c r="F17" s="10">
        <v>14</v>
      </c>
      <c r="G17" s="36">
        <f>7^4</f>
        <v>2401</v>
      </c>
      <c r="H17" s="20">
        <f>5^4</f>
        <v>625</v>
      </c>
      <c r="I17" s="37" t="str">
        <f t="shared" si="0"/>
        <v>2401/625</v>
      </c>
      <c r="J17" s="19">
        <f>2401/625</f>
        <v>3.8416000000000001</v>
      </c>
      <c r="L17" s="10">
        <v>14</v>
      </c>
      <c r="M17" s="40">
        <v>8.5</v>
      </c>
      <c r="N17" s="20">
        <v>0.75</v>
      </c>
      <c r="O17" s="37">
        <f t="shared" si="1"/>
        <v>72.25</v>
      </c>
      <c r="P17" s="20">
        <f t="shared" si="2"/>
        <v>12.75</v>
      </c>
      <c r="Q17" s="20">
        <f t="shared" si="3"/>
        <v>0.5625</v>
      </c>
      <c r="R17" s="20">
        <f t="shared" si="4"/>
        <v>85.5625</v>
      </c>
      <c r="U17" s="15">
        <v>14</v>
      </c>
      <c r="V17" s="15">
        <v>3140</v>
      </c>
      <c r="W17" s="15">
        <v>2</v>
      </c>
      <c r="X17" s="15">
        <f t="shared" si="5"/>
        <v>9859600</v>
      </c>
      <c r="Y17" s="15">
        <f t="shared" si="6"/>
        <v>12560</v>
      </c>
      <c r="Z17" s="15">
        <f t="shared" si="7"/>
        <v>4</v>
      </c>
      <c r="AA17" s="15">
        <f t="shared" si="8"/>
        <v>9872164</v>
      </c>
      <c r="AC17" s="10">
        <v>14</v>
      </c>
      <c r="AD17" s="40">
        <v>7.333333333333333</v>
      </c>
      <c r="AE17" s="20">
        <v>3.1666666666666665</v>
      </c>
      <c r="AF17" s="20">
        <f t="shared" si="9"/>
        <v>53.777777777777771</v>
      </c>
      <c r="AG17" s="20">
        <f t="shared" si="10"/>
        <v>46.444444444444443</v>
      </c>
      <c r="AH17" s="20">
        <f t="shared" si="11"/>
        <v>10.027777777777777</v>
      </c>
      <c r="AI17" s="20">
        <f t="shared" si="12"/>
        <v>17.361111111111107</v>
      </c>
      <c r="AL17" s="10">
        <v>14</v>
      </c>
      <c r="AM17" s="18">
        <v>5</v>
      </c>
      <c r="AN17" s="20">
        <v>0.83333333333333337</v>
      </c>
      <c r="AO17" s="20">
        <f t="shared" si="13"/>
        <v>125</v>
      </c>
      <c r="AP17" s="20">
        <f t="shared" si="14"/>
        <v>62.5</v>
      </c>
      <c r="AQ17" s="20">
        <f t="shared" si="15"/>
        <v>10.416666666666668</v>
      </c>
      <c r="AR17" s="20">
        <f t="shared" si="16"/>
        <v>0.57870370370370383</v>
      </c>
      <c r="AS17" s="20">
        <f t="shared" si="17"/>
        <v>198.49537037037035</v>
      </c>
      <c r="AV17" s="38">
        <v>14</v>
      </c>
      <c r="AW17" s="15">
        <v>870</v>
      </c>
      <c r="AX17" s="15">
        <v>2</v>
      </c>
      <c r="AY17" s="15">
        <f t="shared" si="18"/>
        <v>658503000</v>
      </c>
      <c r="AZ17" s="15">
        <f t="shared" si="19"/>
        <v>4541400</v>
      </c>
      <c r="BA17" s="15">
        <f t="shared" si="20"/>
        <v>10440</v>
      </c>
      <c r="BB17" s="15">
        <f t="shared" si="21"/>
        <v>8</v>
      </c>
      <c r="BC17" s="15">
        <f t="shared" si="22"/>
        <v>663054848</v>
      </c>
      <c r="BE17" s="10">
        <v>14</v>
      </c>
      <c r="BF17" s="18">
        <v>5</v>
      </c>
      <c r="BG17" s="20">
        <v>0.7142857142857143</v>
      </c>
      <c r="BH17" s="20">
        <f t="shared" si="23"/>
        <v>125</v>
      </c>
      <c r="BI17" s="20">
        <f t="shared" si="24"/>
        <v>53.571428571428569</v>
      </c>
      <c r="BJ17" s="20">
        <f t="shared" si="25"/>
        <v>7.6530612244897958</v>
      </c>
      <c r="BK17" s="20">
        <f t="shared" si="26"/>
        <v>0.3644314868804665</v>
      </c>
      <c r="BL17" s="20">
        <f t="shared" si="27"/>
        <v>78.717201166180757</v>
      </c>
      <c r="BO17" s="15">
        <v>14</v>
      </c>
      <c r="BP17" s="15">
        <v>890</v>
      </c>
      <c r="BQ17" s="15">
        <f t="shared" si="28"/>
        <v>891</v>
      </c>
      <c r="BR17" s="15">
        <f t="shared" si="29"/>
        <v>1781</v>
      </c>
      <c r="BT17" s="15"/>
      <c r="BU17" s="15"/>
      <c r="BV17" s="15"/>
      <c r="BW17" s="15"/>
      <c r="CI17" s="15">
        <v>18</v>
      </c>
      <c r="CJ17" s="15" t="s">
        <v>715</v>
      </c>
      <c r="CK17" s="20">
        <f>((2/3)^2)^3</f>
        <v>8.77914951989026E-2</v>
      </c>
      <c r="CM17" s="36"/>
      <c r="CO17" s="15"/>
      <c r="CP17" s="15"/>
      <c r="CQ17" s="20"/>
      <c r="CS17" s="15">
        <v>14</v>
      </c>
      <c r="CT17" s="15">
        <v>3000</v>
      </c>
      <c r="CU17" s="36" t="str">
        <f t="shared" si="36"/>
        <v>5*5*5*3*2*2*2*1</v>
      </c>
      <c r="CV17" s="36" t="s">
        <v>733</v>
      </c>
      <c r="CW17" s="39">
        <f t="shared" ref="CW17:CW24" si="38">CT17^(1/3)</f>
        <v>14.422495703074075</v>
      </c>
    </row>
    <row r="18" spans="2:101">
      <c r="B18" s="36"/>
      <c r="C18" s="51"/>
      <c r="F18" s="10">
        <v>15</v>
      </c>
      <c r="G18" s="36">
        <f>9^5</f>
        <v>59049</v>
      </c>
      <c r="H18" s="36">
        <f>8^5</f>
        <v>32768</v>
      </c>
      <c r="I18" s="37" t="str">
        <f t="shared" si="0"/>
        <v>59049/32768</v>
      </c>
      <c r="J18" s="10" t="s">
        <v>674</v>
      </c>
      <c r="L18" s="10">
        <v>15</v>
      </c>
      <c r="M18" s="36">
        <v>1E-3</v>
      </c>
      <c r="N18" s="20">
        <v>0.03</v>
      </c>
      <c r="O18" s="37">
        <f t="shared" si="1"/>
        <v>9.9999999999999995E-7</v>
      </c>
      <c r="P18" s="23">
        <f t="shared" si="2"/>
        <v>6.0000000000000002E-5</v>
      </c>
      <c r="Q18" s="23">
        <f t="shared" si="3"/>
        <v>8.9999999999999998E-4</v>
      </c>
      <c r="R18" s="23">
        <f t="shared" si="4"/>
        <v>9.6099999999999994E-4</v>
      </c>
      <c r="S18" s="10" t="s">
        <v>680</v>
      </c>
      <c r="U18" s="15">
        <v>15</v>
      </c>
      <c r="V18" s="15">
        <v>4130</v>
      </c>
      <c r="W18" s="15">
        <v>2</v>
      </c>
      <c r="X18" s="15">
        <f t="shared" si="5"/>
        <v>17056900</v>
      </c>
      <c r="Y18" s="15">
        <f t="shared" si="6"/>
        <v>16520</v>
      </c>
      <c r="Z18" s="15">
        <f t="shared" si="7"/>
        <v>4</v>
      </c>
      <c r="AA18" s="15">
        <f t="shared" si="8"/>
        <v>17073424</v>
      </c>
      <c r="AC18" s="10">
        <v>15</v>
      </c>
      <c r="AD18" s="40">
        <v>8.4</v>
      </c>
      <c r="AE18" s="41">
        <v>3.2</v>
      </c>
      <c r="AF18" s="37">
        <f t="shared" si="9"/>
        <v>70.56</v>
      </c>
      <c r="AG18" s="20">
        <f t="shared" si="10"/>
        <v>53.760000000000005</v>
      </c>
      <c r="AH18" s="20">
        <f t="shared" si="11"/>
        <v>10.240000000000002</v>
      </c>
      <c r="AI18" s="20">
        <f t="shared" si="12"/>
        <v>27.04</v>
      </c>
      <c r="AL18" s="10">
        <v>15</v>
      </c>
      <c r="AM18" s="40">
        <v>3.2</v>
      </c>
      <c r="AN18" s="41">
        <v>1</v>
      </c>
      <c r="AO18" s="20">
        <f t="shared" si="13"/>
        <v>32.768000000000008</v>
      </c>
      <c r="AP18" s="20">
        <f t="shared" si="14"/>
        <v>30.720000000000006</v>
      </c>
      <c r="AQ18" s="20">
        <f t="shared" si="15"/>
        <v>9.6000000000000014</v>
      </c>
      <c r="AR18" s="20">
        <f t="shared" si="16"/>
        <v>1</v>
      </c>
      <c r="AS18" s="20">
        <f t="shared" si="17"/>
        <v>74.088000000000022</v>
      </c>
      <c r="AV18" s="38">
        <v>15</v>
      </c>
      <c r="AW18" s="15">
        <v>4130</v>
      </c>
      <c r="AX18" s="15">
        <v>2</v>
      </c>
      <c r="AY18" s="15">
        <f t="shared" si="18"/>
        <v>70444997000</v>
      </c>
      <c r="AZ18" s="15">
        <f t="shared" si="19"/>
        <v>102341400</v>
      </c>
      <c r="BA18" s="15">
        <f t="shared" si="20"/>
        <v>49560</v>
      </c>
      <c r="BB18" s="15">
        <f t="shared" si="21"/>
        <v>8</v>
      </c>
      <c r="BC18" s="15">
        <f t="shared" si="22"/>
        <v>70547387968</v>
      </c>
      <c r="BE18" s="10">
        <v>15</v>
      </c>
      <c r="BF18" s="40">
        <v>4.75</v>
      </c>
      <c r="BG18" s="41">
        <v>4.75</v>
      </c>
      <c r="BH18" s="20">
        <f t="shared" si="23"/>
        <v>107.171875</v>
      </c>
      <c r="BI18" s="20">
        <f t="shared" si="24"/>
        <v>321.515625</v>
      </c>
      <c r="BJ18" s="20">
        <f t="shared" si="25"/>
        <v>321.515625</v>
      </c>
      <c r="BK18" s="20">
        <f t="shared" si="26"/>
        <v>107.171875</v>
      </c>
      <c r="BL18" s="15">
        <f t="shared" si="27"/>
        <v>0</v>
      </c>
      <c r="BO18" s="15">
        <v>15</v>
      </c>
      <c r="BP18" s="15">
        <v>1002</v>
      </c>
      <c r="BQ18" s="15">
        <f t="shared" si="28"/>
        <v>1003</v>
      </c>
      <c r="BR18" s="15">
        <f t="shared" si="29"/>
        <v>2005</v>
      </c>
      <c r="BT18" s="15"/>
      <c r="BU18" s="15"/>
      <c r="BV18" s="15"/>
      <c r="BW18" s="15"/>
      <c r="CI18" s="15">
        <v>19</v>
      </c>
      <c r="CJ18" s="15" t="s">
        <v>719</v>
      </c>
      <c r="CK18" s="15">
        <f>(3^2)^3</f>
        <v>729</v>
      </c>
      <c r="CL18" s="15">
        <f>(5^2)^3</f>
        <v>15625</v>
      </c>
      <c r="CM18" s="36" t="str">
        <f>Quebrado(0,CK18/GCD(CK18,CL18), CL18/GCD(CK18,CL18))</f>
        <v>729/15625</v>
      </c>
      <c r="CP18" s="15"/>
      <c r="CQ18" s="15"/>
      <c r="CS18" s="15">
        <v>15</v>
      </c>
      <c r="CT18" s="22">
        <v>0.53200000000000003</v>
      </c>
      <c r="CU18" s="36"/>
      <c r="CV18" s="36" t="s">
        <v>733</v>
      </c>
      <c r="CW18" s="39">
        <f t="shared" si="38"/>
        <v>0.81028390190438937</v>
      </c>
    </row>
    <row r="19" spans="2:101">
      <c r="B19" s="36"/>
      <c r="C19" s="51"/>
      <c r="F19" s="10">
        <v>16</v>
      </c>
      <c r="G19" s="36">
        <f>5^5</f>
        <v>3125</v>
      </c>
      <c r="H19" s="20">
        <f>2^5</f>
        <v>32</v>
      </c>
      <c r="I19" s="37" t="str">
        <f t="shared" si="0"/>
        <v>3125/32</v>
      </c>
      <c r="J19" s="20">
        <f>3125/32</f>
        <v>97.65625</v>
      </c>
      <c r="L19" s="10">
        <v>16</v>
      </c>
      <c r="M19" s="40">
        <v>0.6</v>
      </c>
      <c r="N19" s="20">
        <v>0.1</v>
      </c>
      <c r="O19" s="37">
        <f t="shared" si="1"/>
        <v>0.36</v>
      </c>
      <c r="P19" s="20">
        <f t="shared" si="2"/>
        <v>0.12</v>
      </c>
      <c r="Q19" s="20">
        <f t="shared" si="3"/>
        <v>1.0000000000000002E-2</v>
      </c>
      <c r="R19" s="20">
        <f t="shared" si="4"/>
        <v>0.49</v>
      </c>
      <c r="V19" s="40"/>
      <c r="W19" s="20"/>
      <c r="X19" s="37"/>
      <c r="Y19" s="20"/>
      <c r="Z19" s="20"/>
      <c r="AA19" s="20"/>
      <c r="AC19" s="10">
        <v>16</v>
      </c>
      <c r="AD19" s="40">
        <v>3.25</v>
      </c>
      <c r="AE19" s="20">
        <v>0.5</v>
      </c>
      <c r="AF19" s="37">
        <f t="shared" si="9"/>
        <v>10.5625</v>
      </c>
      <c r="AG19" s="20">
        <f t="shared" si="10"/>
        <v>3.25</v>
      </c>
      <c r="AH19" s="20">
        <f t="shared" si="11"/>
        <v>0.25</v>
      </c>
      <c r="AI19" s="20">
        <f t="shared" si="12"/>
        <v>7.5625</v>
      </c>
      <c r="AL19" s="10">
        <v>16</v>
      </c>
      <c r="AM19" s="40">
        <v>2.3333333333333335</v>
      </c>
      <c r="AN19" s="20">
        <v>0.66666666666666663</v>
      </c>
      <c r="AO19" s="20">
        <f t="shared" si="13"/>
        <v>12.703703703703708</v>
      </c>
      <c r="AP19" s="20">
        <f t="shared" si="14"/>
        <v>10.888888888888889</v>
      </c>
      <c r="AQ19" s="20">
        <f t="shared" si="15"/>
        <v>3.1111111111111107</v>
      </c>
      <c r="AR19" s="20">
        <f t="shared" si="16"/>
        <v>0.29629629629629628</v>
      </c>
      <c r="AS19" s="18">
        <f t="shared" si="17"/>
        <v>27.000000000000004</v>
      </c>
      <c r="AV19" s="54"/>
      <c r="AW19" s="18"/>
      <c r="AX19" s="18"/>
      <c r="AY19" s="18"/>
      <c r="AZ19" s="18"/>
      <c r="BA19" s="18"/>
      <c r="BB19" s="18"/>
      <c r="BC19" s="18"/>
      <c r="BE19" s="10">
        <v>16</v>
      </c>
      <c r="BF19" s="40">
        <v>4.2</v>
      </c>
      <c r="BG19" s="20">
        <v>0.2</v>
      </c>
      <c r="BH19" s="20">
        <f t="shared" si="23"/>
        <v>74.088000000000008</v>
      </c>
      <c r="BI19" s="20">
        <f t="shared" si="24"/>
        <v>10.584000000000001</v>
      </c>
      <c r="BJ19" s="20">
        <f t="shared" si="25"/>
        <v>0.50400000000000011</v>
      </c>
      <c r="BK19" s="20">
        <f t="shared" si="26"/>
        <v>8.0000000000000019E-3</v>
      </c>
      <c r="BL19" s="15">
        <f t="shared" si="27"/>
        <v>64.000000000000014</v>
      </c>
      <c r="CI19" s="15">
        <v>20</v>
      </c>
      <c r="CJ19" s="15" t="s">
        <v>720</v>
      </c>
      <c r="CK19" s="15">
        <f>((2^2)^2)^2</f>
        <v>256</v>
      </c>
      <c r="CL19" s="15">
        <f>((3^2)^2)^2</f>
        <v>6561</v>
      </c>
      <c r="CM19" s="36" t="str">
        <f>Quebrado(0,CK19/GCD(CK19,CL19), CL19/GCD(CK19,CL19))</f>
        <v>256/6561</v>
      </c>
      <c r="CP19" s="15"/>
      <c r="CQ19" s="15"/>
      <c r="CS19" s="15">
        <v>16</v>
      </c>
      <c r="CT19" s="15">
        <v>512</v>
      </c>
      <c r="CU19" s="36" t="str">
        <f t="shared" si="36"/>
        <v>2*2*2*2*2*2*2*2*2*1</v>
      </c>
      <c r="CV19" s="36" t="s">
        <v>734</v>
      </c>
      <c r="CW19" s="39">
        <f t="shared" si="38"/>
        <v>7.9999999999999982</v>
      </c>
    </row>
    <row r="20" spans="2:101">
      <c r="B20" s="36"/>
      <c r="C20" s="51"/>
      <c r="F20" s="10">
        <v>17</v>
      </c>
      <c r="G20" s="36">
        <f>10^6</f>
        <v>1000000</v>
      </c>
      <c r="H20" s="20">
        <f>3^6</f>
        <v>729</v>
      </c>
      <c r="I20" s="37" t="str">
        <f t="shared" si="0"/>
        <v>1000000/729</v>
      </c>
      <c r="J20" s="20">
        <f>1000000/729</f>
        <v>1371.7421124828531</v>
      </c>
      <c r="L20" s="10">
        <v>17</v>
      </c>
      <c r="M20" s="40">
        <v>1.3333333333333333</v>
      </c>
      <c r="N20" s="20">
        <v>8.3333333333333329E-2</v>
      </c>
      <c r="O20" s="37">
        <f t="shared" si="1"/>
        <v>1.7777777777777777</v>
      </c>
      <c r="P20" s="20">
        <f t="shared" si="2"/>
        <v>0.22222222222222221</v>
      </c>
      <c r="Q20" s="20">
        <f t="shared" si="3"/>
        <v>6.9444444444444441E-3</v>
      </c>
      <c r="R20" s="20">
        <f t="shared" si="4"/>
        <v>2.0069444444444446</v>
      </c>
      <c r="V20" s="40"/>
      <c r="W20" s="20"/>
      <c r="X20" s="37"/>
      <c r="Y20" s="20"/>
      <c r="Z20" s="20"/>
      <c r="AA20" s="20"/>
      <c r="AC20" s="10">
        <v>17</v>
      </c>
      <c r="AD20" s="40">
        <v>0.2</v>
      </c>
      <c r="AE20" s="41">
        <v>0.1</v>
      </c>
      <c r="AF20" s="37">
        <f t="shared" si="9"/>
        <v>4.0000000000000008E-2</v>
      </c>
      <c r="AG20" s="20">
        <f t="shared" si="10"/>
        <v>4.0000000000000008E-2</v>
      </c>
      <c r="AH20" s="20">
        <f t="shared" si="11"/>
        <v>1.0000000000000002E-2</v>
      </c>
      <c r="AI20" s="24">
        <f t="shared" si="12"/>
        <v>1.0000000000000002E-2</v>
      </c>
      <c r="AL20" s="10">
        <v>17</v>
      </c>
      <c r="AM20" s="40">
        <v>5.25</v>
      </c>
      <c r="AN20" s="41">
        <v>4.75</v>
      </c>
      <c r="AO20" s="20">
        <f t="shared" si="13"/>
        <v>144.703125</v>
      </c>
      <c r="AP20" s="20">
        <f t="shared" si="14"/>
        <v>392.765625</v>
      </c>
      <c r="AQ20" s="20">
        <f t="shared" si="15"/>
        <v>355.359375</v>
      </c>
      <c r="AR20" s="20">
        <f t="shared" si="16"/>
        <v>107.171875</v>
      </c>
      <c r="AS20" s="15">
        <f t="shared" si="17"/>
        <v>1000</v>
      </c>
      <c r="AV20" s="54"/>
      <c r="AW20" s="18"/>
      <c r="AX20" s="18"/>
      <c r="AY20" s="18"/>
      <c r="AZ20" s="18"/>
      <c r="BA20" s="18"/>
      <c r="BB20" s="18"/>
      <c r="BC20" s="18"/>
      <c r="BE20" s="10">
        <v>17</v>
      </c>
      <c r="BF20" s="40">
        <v>6.666666666666667</v>
      </c>
      <c r="BG20" s="41">
        <v>5.333333333333333</v>
      </c>
      <c r="BH20" s="20">
        <f t="shared" si="23"/>
        <v>296.29629629629636</v>
      </c>
      <c r="BI20" s="20">
        <f t="shared" si="24"/>
        <v>711.11111111111109</v>
      </c>
      <c r="BJ20" s="20">
        <f t="shared" si="25"/>
        <v>568.88888888888891</v>
      </c>
      <c r="BK20" s="20">
        <f t="shared" si="26"/>
        <v>151.7037037037037</v>
      </c>
      <c r="BL20" s="20">
        <f t="shared" si="27"/>
        <v>2.3703703703704946</v>
      </c>
      <c r="CI20" s="15"/>
      <c r="CS20" s="15">
        <v>17</v>
      </c>
      <c r="CT20" s="15">
        <v>70000</v>
      </c>
      <c r="CU20" s="36" t="str">
        <f t="shared" si="36"/>
        <v>7*5*5*5*5*2*2*2*2*1</v>
      </c>
      <c r="CV20" s="36" t="s">
        <v>733</v>
      </c>
      <c r="CW20" s="39">
        <f t="shared" si="38"/>
        <v>41.212852998085559</v>
      </c>
    </row>
    <row r="21" spans="2:101">
      <c r="B21" s="36"/>
      <c r="C21" s="51"/>
      <c r="F21" s="10">
        <v>18</v>
      </c>
      <c r="G21" s="36">
        <f>6^6</f>
        <v>46656</v>
      </c>
      <c r="H21" s="36">
        <f>5^6</f>
        <v>15625</v>
      </c>
      <c r="I21" s="37" t="str">
        <f t="shared" si="0"/>
        <v>46656/15625</v>
      </c>
      <c r="J21" s="10" t="s">
        <v>675</v>
      </c>
      <c r="L21" s="10">
        <v>18</v>
      </c>
      <c r="M21" s="40">
        <v>0.5</v>
      </c>
      <c r="N21" s="55">
        <v>2.5</v>
      </c>
      <c r="O21" s="37">
        <f t="shared" si="1"/>
        <v>0.25</v>
      </c>
      <c r="P21" s="20">
        <f t="shared" si="2"/>
        <v>2.5</v>
      </c>
      <c r="Q21" s="20">
        <f t="shared" si="3"/>
        <v>6.25</v>
      </c>
      <c r="R21" s="18">
        <f t="shared" si="4"/>
        <v>9</v>
      </c>
      <c r="V21" s="40"/>
      <c r="W21" s="55"/>
      <c r="X21" s="37"/>
      <c r="Y21" s="20"/>
      <c r="Z21" s="20"/>
      <c r="AA21" s="20"/>
      <c r="AC21" s="10">
        <v>18</v>
      </c>
      <c r="AD21" s="40">
        <v>6.6</v>
      </c>
      <c r="AE21" s="19">
        <v>5.35</v>
      </c>
      <c r="AF21" s="37">
        <f t="shared" si="9"/>
        <v>43.559999999999995</v>
      </c>
      <c r="AG21" s="20">
        <f t="shared" si="10"/>
        <v>70.61999999999999</v>
      </c>
      <c r="AH21" s="20">
        <f t="shared" si="11"/>
        <v>28.622499999999995</v>
      </c>
      <c r="AI21" s="20">
        <f t="shared" si="12"/>
        <v>1.5625</v>
      </c>
      <c r="AL21" s="10">
        <v>18</v>
      </c>
      <c r="AM21" s="40">
        <v>6.125</v>
      </c>
      <c r="AN21" s="19">
        <v>0.875</v>
      </c>
      <c r="AO21" s="20">
        <f t="shared" si="13"/>
        <v>229.783203125</v>
      </c>
      <c r="AP21" s="20">
        <f t="shared" si="14"/>
        <v>98.478515625</v>
      </c>
      <c r="AQ21" s="20">
        <f t="shared" si="15"/>
        <v>14.068359375</v>
      </c>
      <c r="AR21" s="20">
        <f t="shared" si="16"/>
        <v>0.669921875</v>
      </c>
      <c r="AS21" s="15">
        <f t="shared" si="17"/>
        <v>343</v>
      </c>
      <c r="AV21" s="54"/>
      <c r="AW21" s="18"/>
      <c r="AX21" s="54"/>
      <c r="AY21" s="18"/>
      <c r="AZ21" s="18"/>
      <c r="BA21" s="18"/>
      <c r="BB21" s="18"/>
      <c r="BC21" s="18"/>
      <c r="BE21" s="10">
        <v>18</v>
      </c>
      <c r="BF21" s="40">
        <v>1.25</v>
      </c>
      <c r="BG21" s="19">
        <v>0.125</v>
      </c>
      <c r="BH21" s="20">
        <f t="shared" si="23"/>
        <v>1.953125</v>
      </c>
      <c r="BI21" s="20">
        <f t="shared" si="24"/>
        <v>0.5859375</v>
      </c>
      <c r="BJ21" s="20">
        <f t="shared" si="25"/>
        <v>5.859375E-2</v>
      </c>
      <c r="BK21" s="20">
        <f t="shared" si="26"/>
        <v>1.953125E-3</v>
      </c>
      <c r="BL21" s="20">
        <f t="shared" si="27"/>
        <v>1.423828125</v>
      </c>
      <c r="CS21" s="15">
        <v>18</v>
      </c>
      <c r="CT21" s="15">
        <v>729</v>
      </c>
      <c r="CU21" s="36" t="str">
        <f t="shared" si="36"/>
        <v>3*3*3*3*3*3*1</v>
      </c>
      <c r="CV21" s="36" t="s">
        <v>734</v>
      </c>
      <c r="CW21" s="39">
        <f t="shared" si="38"/>
        <v>8.9999999999999982</v>
      </c>
    </row>
    <row r="22" spans="2:101">
      <c r="B22" s="36"/>
      <c r="C22" s="51"/>
      <c r="F22" s="10">
        <v>19</v>
      </c>
      <c r="G22" s="36">
        <f>9^4</f>
        <v>6561</v>
      </c>
      <c r="H22" s="20">
        <f>4^4</f>
        <v>256</v>
      </c>
      <c r="I22" s="37" t="str">
        <f t="shared" si="0"/>
        <v>6561/256</v>
      </c>
      <c r="J22" s="19">
        <f>6561/256</f>
        <v>25.62890625</v>
      </c>
      <c r="L22" s="10">
        <v>19</v>
      </c>
      <c r="M22" s="40">
        <v>3.2</v>
      </c>
      <c r="N22" s="20">
        <v>0.8</v>
      </c>
      <c r="O22" s="37">
        <f>M22^2</f>
        <v>10.240000000000002</v>
      </c>
      <c r="P22" s="20">
        <f>2*M22*N22</f>
        <v>5.120000000000001</v>
      </c>
      <c r="Q22" s="20">
        <f>N22^2</f>
        <v>0.64000000000000012</v>
      </c>
      <c r="R22" s="18">
        <f>O22+P22+Q22</f>
        <v>16.000000000000004</v>
      </c>
      <c r="V22" s="40"/>
      <c r="W22" s="40"/>
      <c r="X22" s="37"/>
      <c r="Y22" s="20"/>
      <c r="Z22" s="20"/>
      <c r="AA22" s="20"/>
      <c r="AC22" s="10">
        <v>19</v>
      </c>
      <c r="AD22" s="40">
        <v>7.5</v>
      </c>
      <c r="AE22" s="40">
        <v>6.25</v>
      </c>
      <c r="AF22" s="37">
        <f>AD22^2</f>
        <v>56.25</v>
      </c>
      <c r="AG22" s="20">
        <f>2*AD22*AE22</f>
        <v>93.75</v>
      </c>
      <c r="AH22" s="20">
        <f>AE22^2</f>
        <v>39.0625</v>
      </c>
      <c r="AI22" s="20">
        <f t="shared" si="12"/>
        <v>1.5625</v>
      </c>
      <c r="AL22" s="10">
        <v>19</v>
      </c>
      <c r="AM22" s="40">
        <v>4.5</v>
      </c>
      <c r="AN22" s="40">
        <v>1</v>
      </c>
      <c r="AO22" s="20">
        <f t="shared" si="13"/>
        <v>91.125</v>
      </c>
      <c r="AP22" s="20">
        <f t="shared" si="14"/>
        <v>60.75</v>
      </c>
      <c r="AQ22" s="20">
        <f t="shared" si="15"/>
        <v>13.5</v>
      </c>
      <c r="AR22" s="20">
        <f t="shared" si="16"/>
        <v>1</v>
      </c>
      <c r="AS22" s="20">
        <f t="shared" si="17"/>
        <v>166.375</v>
      </c>
      <c r="AV22" s="54"/>
      <c r="AW22" s="18"/>
      <c r="AX22" s="18"/>
      <c r="AY22" s="18"/>
      <c r="AZ22" s="18"/>
      <c r="BA22" s="18"/>
      <c r="BB22" s="18"/>
      <c r="BC22" s="18"/>
      <c r="BE22" s="10">
        <v>19</v>
      </c>
      <c r="BF22" s="40">
        <v>2.02</v>
      </c>
      <c r="BG22" s="40">
        <v>1.02</v>
      </c>
      <c r="BH22" s="20">
        <f t="shared" si="23"/>
        <v>8.2424079999999993</v>
      </c>
      <c r="BI22" s="20">
        <f t="shared" si="24"/>
        <v>12.486023999999999</v>
      </c>
      <c r="BJ22" s="20">
        <f t="shared" si="25"/>
        <v>6.3048240000000009</v>
      </c>
      <c r="BK22" s="20">
        <f t="shared" si="26"/>
        <v>1.0612079999999999</v>
      </c>
      <c r="BL22" s="15">
        <f t="shared" si="27"/>
        <v>1.0000000000000016</v>
      </c>
      <c r="CS22" s="15">
        <v>19</v>
      </c>
      <c r="CT22" s="15">
        <v>18</v>
      </c>
      <c r="CU22" s="36" t="str">
        <f t="shared" si="36"/>
        <v>3*3*2*1</v>
      </c>
      <c r="CV22" s="36" t="s">
        <v>733</v>
      </c>
      <c r="CW22" s="39">
        <f t="shared" si="38"/>
        <v>2.6207413942088964</v>
      </c>
    </row>
    <row r="23" spans="2:101">
      <c r="B23" s="36"/>
      <c r="C23" s="51"/>
      <c r="F23" s="10">
        <v>20</v>
      </c>
      <c r="G23" s="36">
        <f>3^8</f>
        <v>6561</v>
      </c>
      <c r="H23" s="20">
        <f>2^8</f>
        <v>256</v>
      </c>
      <c r="I23" s="37" t="str">
        <f t="shared" si="0"/>
        <v>6561/256</v>
      </c>
      <c r="J23" s="19">
        <f>6561/256</f>
        <v>25.62890625</v>
      </c>
      <c r="L23" s="10">
        <v>20</v>
      </c>
      <c r="M23" s="36">
        <v>0.02</v>
      </c>
      <c r="N23" s="43">
        <v>2E-3</v>
      </c>
      <c r="O23" s="37">
        <f>M23^2</f>
        <v>4.0000000000000002E-4</v>
      </c>
      <c r="P23" s="50">
        <f>2*M23*N23</f>
        <v>8.0000000000000007E-5</v>
      </c>
      <c r="Q23" s="23">
        <f>N23^2</f>
        <v>3.9999999999999998E-6</v>
      </c>
      <c r="R23" s="23">
        <f>O23+P23+Q23</f>
        <v>4.84E-4</v>
      </c>
      <c r="V23" s="36"/>
      <c r="W23" s="20"/>
      <c r="X23" s="37"/>
      <c r="Y23" s="20"/>
      <c r="Z23" s="20"/>
      <c r="AA23" s="20"/>
      <c r="AC23" s="10">
        <v>20</v>
      </c>
      <c r="AD23" s="36">
        <v>0.02</v>
      </c>
      <c r="AE23" s="43">
        <v>1E-3</v>
      </c>
      <c r="AF23" s="37">
        <f>AD23^2</f>
        <v>4.0000000000000002E-4</v>
      </c>
      <c r="AG23" s="50">
        <f>2*AD23*AE23</f>
        <v>4.0000000000000003E-5</v>
      </c>
      <c r="AH23" s="23">
        <f>AE23^2</f>
        <v>9.9999999999999995E-7</v>
      </c>
      <c r="AI23" s="25">
        <f t="shared" si="12"/>
        <v>3.6100000000000005E-4</v>
      </c>
      <c r="AL23" s="10">
        <v>20</v>
      </c>
      <c r="AM23" s="36">
        <v>0.02</v>
      </c>
      <c r="AN23" s="42">
        <v>0.01</v>
      </c>
      <c r="AO23" s="23">
        <f t="shared" si="13"/>
        <v>8.0000000000000013E-6</v>
      </c>
      <c r="AP23" s="23">
        <f t="shared" si="14"/>
        <v>1.2000000000000002E-5</v>
      </c>
      <c r="AQ23" s="23">
        <f t="shared" si="15"/>
        <v>6.0000000000000002E-6</v>
      </c>
      <c r="AR23" s="25">
        <f t="shared" si="16"/>
        <v>1.0000000000000002E-6</v>
      </c>
      <c r="AS23" s="25">
        <f t="shared" si="17"/>
        <v>2.7000000000000006E-5</v>
      </c>
      <c r="AV23" s="54"/>
      <c r="AW23" s="18"/>
      <c r="AX23" s="18"/>
      <c r="AY23" s="18"/>
      <c r="AZ23" s="18"/>
      <c r="BA23" s="18"/>
      <c r="BB23" s="18"/>
      <c r="BC23" s="18"/>
      <c r="BE23" s="10">
        <v>20</v>
      </c>
      <c r="BF23" s="40">
        <v>5.4</v>
      </c>
      <c r="BG23" s="41">
        <v>0.4</v>
      </c>
      <c r="BH23" s="43">
        <f t="shared" si="23"/>
        <v>157.46400000000003</v>
      </c>
      <c r="BI23" s="43">
        <f t="shared" si="24"/>
        <v>34.992000000000012</v>
      </c>
      <c r="BJ23" s="43">
        <f t="shared" si="25"/>
        <v>2.592000000000001</v>
      </c>
      <c r="BK23" s="22">
        <f t="shared" si="26"/>
        <v>6.4000000000000015E-2</v>
      </c>
      <c r="BL23" s="15">
        <f t="shared" si="27"/>
        <v>125.00000000000001</v>
      </c>
      <c r="BO23" s="15"/>
      <c r="BP23" s="15"/>
      <c r="CS23" s="15">
        <v>20</v>
      </c>
      <c r="CT23" s="15">
        <v>540</v>
      </c>
      <c r="CU23" s="36" t="str">
        <f t="shared" si="36"/>
        <v>5*3*3*3*2*2*1</v>
      </c>
      <c r="CV23" s="36" t="s">
        <v>733</v>
      </c>
      <c r="CW23" s="39">
        <f t="shared" si="38"/>
        <v>8.1432528497847212</v>
      </c>
    </row>
    <row r="24" spans="2:101">
      <c r="L24" s="10">
        <v>21</v>
      </c>
      <c r="M24" s="36">
        <v>1</v>
      </c>
      <c r="N24" s="20">
        <v>0.1</v>
      </c>
      <c r="O24" s="37">
        <f>M24^2</f>
        <v>1</v>
      </c>
      <c r="P24" s="20">
        <f>2*M24*N24</f>
        <v>0.2</v>
      </c>
      <c r="Q24" s="20">
        <f>N24^2</f>
        <v>1.0000000000000002E-2</v>
      </c>
      <c r="R24" s="42">
        <f>O24+P24+Q24</f>
        <v>1.21</v>
      </c>
      <c r="V24" s="36"/>
      <c r="W24" s="20"/>
      <c r="X24" s="37"/>
      <c r="Y24" s="20"/>
      <c r="Z24" s="20"/>
      <c r="AA24" s="20"/>
      <c r="AC24" s="10">
        <v>21</v>
      </c>
      <c r="AD24" s="36">
        <v>1</v>
      </c>
      <c r="AE24" s="20">
        <v>0.1</v>
      </c>
      <c r="AF24" s="37">
        <f>AD24^2</f>
        <v>1</v>
      </c>
      <c r="AG24" s="20">
        <f>2*AD24*AE24</f>
        <v>0.2</v>
      </c>
      <c r="AH24" s="20">
        <f>AE24^2</f>
        <v>1.0000000000000002E-2</v>
      </c>
      <c r="AI24" s="24">
        <f t="shared" si="12"/>
        <v>0.81</v>
      </c>
      <c r="AL24" s="10">
        <v>21</v>
      </c>
      <c r="AM24" s="18">
        <v>1</v>
      </c>
      <c r="AN24" s="20">
        <v>0.1</v>
      </c>
      <c r="AO24" s="18">
        <f t="shared" si="13"/>
        <v>1</v>
      </c>
      <c r="AP24" s="41">
        <f t="shared" si="14"/>
        <v>0.30000000000000004</v>
      </c>
      <c r="AQ24" s="42">
        <f t="shared" si="15"/>
        <v>3.0000000000000006E-2</v>
      </c>
      <c r="AR24" s="22">
        <f t="shared" si="16"/>
        <v>1.0000000000000002E-3</v>
      </c>
      <c r="AS24" s="22">
        <f t="shared" si="17"/>
        <v>1.331</v>
      </c>
      <c r="AV24" s="54"/>
      <c r="AW24" s="18"/>
      <c r="AX24" s="18"/>
      <c r="AY24" s="18"/>
      <c r="AZ24" s="18"/>
      <c r="BA24" s="18"/>
      <c r="BB24" s="18"/>
      <c r="BC24" s="18"/>
      <c r="BE24" s="10">
        <v>21</v>
      </c>
      <c r="BF24" s="18">
        <v>1</v>
      </c>
      <c r="BG24" s="20">
        <v>0.1</v>
      </c>
      <c r="BH24" s="18">
        <f t="shared" si="23"/>
        <v>1</v>
      </c>
      <c r="BI24" s="41">
        <f t="shared" si="24"/>
        <v>0.30000000000000004</v>
      </c>
      <c r="BJ24" s="42">
        <f t="shared" si="25"/>
        <v>3.0000000000000006E-2</v>
      </c>
      <c r="BK24" s="22">
        <f t="shared" si="26"/>
        <v>1.0000000000000002E-3</v>
      </c>
      <c r="BL24" s="22">
        <f t="shared" si="27"/>
        <v>0.72899999999999998</v>
      </c>
      <c r="BO24" s="15"/>
      <c r="BP24" s="15"/>
      <c r="CI24" s="15"/>
      <c r="CS24" s="15">
        <v>21</v>
      </c>
      <c r="CT24" s="15">
        <v>1331</v>
      </c>
      <c r="CU24" s="36" t="str">
        <f t="shared" si="36"/>
        <v>11*11*11*1</v>
      </c>
      <c r="CV24" s="36" t="s">
        <v>734</v>
      </c>
      <c r="CW24" s="39">
        <f t="shared" si="38"/>
        <v>11.000000000000002</v>
      </c>
    </row>
    <row r="25" spans="2:101">
      <c r="BO25" s="15"/>
      <c r="BP25" s="15"/>
      <c r="CI25" s="15"/>
    </row>
    <row r="26" spans="2:101">
      <c r="BO26" s="15"/>
      <c r="BP26" s="15"/>
    </row>
    <row r="27" spans="2:101">
      <c r="F27" s="11" t="s">
        <v>736</v>
      </c>
      <c r="G27" s="11"/>
      <c r="H27" s="11"/>
      <c r="I27" s="11"/>
      <c r="BO27" s="15"/>
      <c r="BP27" s="15"/>
    </row>
    <row r="28" spans="2:101" ht="16">
      <c r="F28" s="12" t="s">
        <v>4</v>
      </c>
      <c r="G28" s="31" t="s">
        <v>391</v>
      </c>
      <c r="H28" s="31" t="s">
        <v>668</v>
      </c>
      <c r="I28" s="14"/>
      <c r="BO28" s="15"/>
      <c r="BP28" s="15"/>
    </row>
    <row r="29" spans="2:101" ht="17">
      <c r="F29" s="10">
        <v>25</v>
      </c>
      <c r="G29" s="36" t="s">
        <v>737</v>
      </c>
      <c r="H29" s="15">
        <f>2^3*5^3</f>
        <v>1000</v>
      </c>
      <c r="I29" s="51" t="s">
        <v>740</v>
      </c>
      <c r="BO29" s="15"/>
      <c r="BP29" s="15"/>
    </row>
    <row r="30" spans="2:101" ht="17">
      <c r="F30" s="10">
        <v>26</v>
      </c>
      <c r="G30" s="36" t="s">
        <v>738</v>
      </c>
      <c r="H30" s="15">
        <f>50^4*2^4</f>
        <v>100000000</v>
      </c>
      <c r="I30" s="51" t="s">
        <v>741</v>
      </c>
      <c r="BO30" s="15"/>
      <c r="BP30" s="15"/>
    </row>
    <row r="31" spans="2:101" ht="17">
      <c r="F31" s="10">
        <v>27</v>
      </c>
      <c r="G31" s="36" t="s">
        <v>739</v>
      </c>
      <c r="H31" s="15">
        <f>2^3*5^3*10^3</f>
        <v>1000000</v>
      </c>
      <c r="I31" s="51" t="s">
        <v>742</v>
      </c>
      <c r="BO31" s="15"/>
      <c r="BP31" s="15"/>
    </row>
    <row r="32" spans="2:101">
      <c r="G32" s="36"/>
      <c r="H32" s="36"/>
      <c r="BO32" s="15"/>
      <c r="BP32" s="15"/>
    </row>
    <row r="33" spans="7:68">
      <c r="G33" s="36"/>
      <c r="H33" s="36"/>
      <c r="BO33" s="15"/>
      <c r="BP33" s="15"/>
    </row>
    <row r="34" spans="7:68">
      <c r="G34" s="36"/>
      <c r="H34" s="36"/>
      <c r="BO34" s="15"/>
      <c r="BP34" s="15"/>
    </row>
    <row r="35" spans="7:68">
      <c r="G35" s="36"/>
      <c r="H35" s="36"/>
      <c r="BO35" s="15"/>
      <c r="BP35" s="15"/>
    </row>
    <row r="36" spans="7:68">
      <c r="G36" s="36"/>
      <c r="H36" s="36"/>
      <c r="BO36" s="15"/>
      <c r="BP36" s="15"/>
    </row>
    <row r="37" spans="7:68">
      <c r="G37" s="36"/>
      <c r="H37" s="49"/>
      <c r="BO37" s="15"/>
      <c r="BP37" s="15"/>
    </row>
    <row r="38" spans="7:68">
      <c r="G38" s="36"/>
      <c r="H38" s="36"/>
    </row>
    <row r="39" spans="7:68">
      <c r="G39" s="36"/>
      <c r="H39" s="51"/>
    </row>
    <row r="40" spans="7:68">
      <c r="G40" s="36"/>
      <c r="H40" s="36"/>
    </row>
  </sheetData>
  <mergeCells count="16">
    <mergeCell ref="A2:D2"/>
    <mergeCell ref="L2:S2"/>
    <mergeCell ref="U2:AA2"/>
    <mergeCell ref="F27:I27"/>
    <mergeCell ref="AC2:AJ2"/>
    <mergeCell ref="AL2:AT2"/>
    <mergeCell ref="AV2:BC2"/>
    <mergeCell ref="BE2:BM2"/>
    <mergeCell ref="F2:J2"/>
    <mergeCell ref="CO2:CQ2"/>
    <mergeCell ref="CS2:CV2"/>
    <mergeCell ref="BO2:BR2"/>
    <mergeCell ref="BT2:BW2"/>
    <mergeCell ref="BY2:CB2"/>
    <mergeCell ref="CD2:CG2"/>
    <mergeCell ref="CI2:CK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W49"/>
  <sheetViews>
    <sheetView topLeftCell="AK1" workbookViewId="0">
      <selection activeCell="AK1" sqref="AK1"/>
    </sheetView>
  </sheetViews>
  <sheetFormatPr baseColWidth="10" defaultRowHeight="15"/>
  <cols>
    <col min="1" max="1" width="9.5" style="10" customWidth="1"/>
    <col min="2" max="2" width="14.6640625" style="10" bestFit="1" customWidth="1"/>
    <col min="3" max="3" width="8.83203125" style="10" customWidth="1"/>
    <col min="4" max="4" width="9.5" style="10" customWidth="1"/>
    <col min="5" max="5" width="10.83203125" style="10"/>
    <col min="6" max="6" width="9.6640625" style="10" customWidth="1"/>
    <col min="7" max="7" width="14" style="10" customWidth="1"/>
    <col min="8" max="8" width="12.1640625" style="10" bestFit="1" customWidth="1"/>
    <col min="9" max="9" width="15.6640625" style="10" customWidth="1"/>
    <col min="10" max="10" width="10.83203125" style="10"/>
    <col min="11" max="11" width="9.6640625" style="10" customWidth="1"/>
    <col min="12" max="13" width="13.5" style="10" customWidth="1"/>
    <col min="14" max="14" width="14.83203125" style="10" customWidth="1"/>
    <col min="15" max="15" width="13.5" style="10" customWidth="1"/>
    <col min="16" max="16" width="12.5" style="10" customWidth="1"/>
    <col min="17" max="17" width="11.6640625" style="10" customWidth="1"/>
    <col min="18" max="18" width="12" style="10" customWidth="1"/>
    <col min="19" max="19" width="10.83203125" style="10"/>
    <col min="20" max="20" width="9.6640625" style="10" customWidth="1"/>
    <col min="21" max="21" width="10.83203125" style="10"/>
    <col min="22" max="22" width="13.33203125" style="10" customWidth="1"/>
    <col min="23" max="23" width="14.5" style="10" customWidth="1"/>
    <col min="24" max="24" width="16.1640625" style="10" customWidth="1"/>
    <col min="25" max="25" width="14" style="10" customWidth="1"/>
    <col min="26" max="26" width="10.6640625" style="10" customWidth="1"/>
    <col min="27" max="27" width="12.5" style="10" customWidth="1"/>
    <col min="28" max="28" width="10.83203125" style="10"/>
    <col min="29" max="29" width="9.83203125" style="10" customWidth="1"/>
    <col min="30" max="30" width="10.83203125" style="10"/>
    <col min="31" max="31" width="13" style="10" customWidth="1"/>
    <col min="32" max="32" width="14.83203125" style="10" customWidth="1"/>
    <col min="33" max="33" width="16.5" style="10" customWidth="1"/>
    <col min="34" max="34" width="13.1640625" style="10" customWidth="1"/>
    <col min="35" max="36" width="10.83203125" style="10"/>
    <col min="37" max="37" width="10.1640625" style="10" customWidth="1"/>
    <col min="38" max="38" width="10.83203125" style="10"/>
    <col min="39" max="39" width="13.1640625" style="10" customWidth="1"/>
    <col min="40" max="40" width="11.83203125" style="10" bestFit="1" customWidth="1"/>
    <col min="41" max="41" width="14" style="10" customWidth="1"/>
    <col min="42" max="44" width="10.83203125" style="10"/>
    <col min="45" max="45" width="9.33203125" style="10" customWidth="1"/>
    <col min="46" max="46" width="10.83203125" style="10"/>
    <col min="47" max="47" width="10.1640625" style="10" customWidth="1"/>
    <col min="48" max="48" width="8.6640625" style="10" customWidth="1"/>
    <col min="49" max="49" width="11.83203125" style="10" customWidth="1"/>
    <col min="50" max="16384" width="10.83203125" style="10"/>
  </cols>
  <sheetData>
    <row r="1" spans="1:49" ht="100" customHeight="1"/>
    <row r="2" spans="1:49">
      <c r="A2" s="11" t="s">
        <v>761</v>
      </c>
      <c r="B2" s="11"/>
      <c r="C2" s="11"/>
      <c r="D2" s="11"/>
      <c r="F2" s="11" t="s">
        <v>764</v>
      </c>
      <c r="G2" s="11"/>
      <c r="H2" s="11"/>
      <c r="I2" s="11"/>
      <c r="K2" s="11" t="s">
        <v>766</v>
      </c>
      <c r="L2" s="11"/>
      <c r="M2" s="11"/>
      <c r="N2" s="11"/>
      <c r="O2" s="11"/>
      <c r="P2" s="11"/>
      <c r="Q2" s="11"/>
      <c r="R2" s="11"/>
      <c r="T2" s="11" t="s">
        <v>768</v>
      </c>
      <c r="U2" s="11"/>
      <c r="V2" s="11"/>
      <c r="W2" s="11"/>
      <c r="X2" s="11"/>
      <c r="Y2" s="11"/>
      <c r="Z2" s="11"/>
      <c r="AA2" s="11"/>
      <c r="AC2" s="11" t="s">
        <v>769</v>
      </c>
      <c r="AD2" s="11"/>
      <c r="AE2" s="11"/>
      <c r="AF2" s="11"/>
      <c r="AG2" s="11"/>
      <c r="AH2" s="11"/>
      <c r="AK2" s="11" t="s">
        <v>776</v>
      </c>
      <c r="AL2" s="11"/>
      <c r="AM2" s="11"/>
      <c r="AN2" s="11"/>
      <c r="AO2" s="11"/>
      <c r="AP2" s="11"/>
      <c r="AS2" s="11" t="s">
        <v>777</v>
      </c>
      <c r="AT2" s="11"/>
      <c r="AU2" s="11"/>
      <c r="AV2" s="11"/>
      <c r="AW2" s="11"/>
    </row>
    <row r="3" spans="1:49" ht="32">
      <c r="A3" s="12" t="s">
        <v>4</v>
      </c>
      <c r="B3" s="13" t="s">
        <v>765</v>
      </c>
      <c r="C3" s="13" t="s">
        <v>763</v>
      </c>
      <c r="D3" s="14" t="s">
        <v>762</v>
      </c>
      <c r="F3" s="12" t="s">
        <v>4</v>
      </c>
      <c r="G3" s="13" t="s">
        <v>5</v>
      </c>
      <c r="H3" s="13" t="s">
        <v>763</v>
      </c>
      <c r="I3" s="14" t="s">
        <v>762</v>
      </c>
      <c r="K3" s="12" t="s">
        <v>4</v>
      </c>
      <c r="L3" s="13" t="s">
        <v>85</v>
      </c>
      <c r="M3" s="13" t="s">
        <v>86</v>
      </c>
      <c r="N3" s="14" t="s">
        <v>126</v>
      </c>
      <c r="O3" s="14" t="s">
        <v>767</v>
      </c>
      <c r="P3" s="14" t="s">
        <v>770</v>
      </c>
      <c r="Q3" s="14" t="s">
        <v>771</v>
      </c>
      <c r="R3" s="14" t="s">
        <v>774</v>
      </c>
      <c r="T3" s="12" t="s">
        <v>4</v>
      </c>
      <c r="U3" s="13" t="s">
        <v>85</v>
      </c>
      <c r="V3" s="13" t="s">
        <v>86</v>
      </c>
      <c r="W3" s="13" t="s">
        <v>126</v>
      </c>
      <c r="X3" s="13" t="s">
        <v>127</v>
      </c>
      <c r="Y3" s="14" t="s">
        <v>770</v>
      </c>
      <c r="Z3" s="14" t="s">
        <v>771</v>
      </c>
      <c r="AA3" s="14" t="s">
        <v>775</v>
      </c>
      <c r="AC3" s="12" t="s">
        <v>4</v>
      </c>
      <c r="AD3" s="13" t="s">
        <v>85</v>
      </c>
      <c r="AE3" s="13" t="s">
        <v>86</v>
      </c>
      <c r="AF3" s="13" t="s">
        <v>126</v>
      </c>
      <c r="AG3" s="13" t="s">
        <v>127</v>
      </c>
      <c r="AH3" s="14" t="s">
        <v>770</v>
      </c>
      <c r="AI3" s="14" t="s">
        <v>771</v>
      </c>
      <c r="AK3" s="12" t="s">
        <v>4</v>
      </c>
      <c r="AL3" s="13" t="s">
        <v>85</v>
      </c>
      <c r="AM3" s="13" t="s">
        <v>86</v>
      </c>
      <c r="AN3" s="13" t="s">
        <v>126</v>
      </c>
      <c r="AO3" s="13" t="s">
        <v>127</v>
      </c>
      <c r="AP3" s="14" t="s">
        <v>770</v>
      </c>
      <c r="AQ3" s="14" t="s">
        <v>771</v>
      </c>
      <c r="AS3" s="12" t="s">
        <v>4</v>
      </c>
      <c r="AT3" s="13" t="s">
        <v>778</v>
      </c>
      <c r="AU3" s="13" t="s">
        <v>425</v>
      </c>
      <c r="AV3" s="13" t="s">
        <v>763</v>
      </c>
      <c r="AW3" s="14" t="s">
        <v>762</v>
      </c>
    </row>
    <row r="4" spans="1:49">
      <c r="A4" s="15">
        <v>1</v>
      </c>
      <c r="B4" s="15">
        <v>324</v>
      </c>
      <c r="C4" s="15">
        <f>TRUNC(SQRT(B4))</f>
        <v>18</v>
      </c>
      <c r="D4" s="15">
        <f>B4-C4^2</f>
        <v>0</v>
      </c>
      <c r="F4" s="15">
        <v>1</v>
      </c>
      <c r="G4" s="16">
        <v>1.69</v>
      </c>
      <c r="H4" s="17">
        <f>SQRT(G4)</f>
        <v>1.3</v>
      </c>
      <c r="I4" s="18">
        <f>G4-H4^2</f>
        <v>0</v>
      </c>
      <c r="K4" s="15">
        <v>1</v>
      </c>
      <c r="L4" s="18">
        <v>1</v>
      </c>
      <c r="M4" s="18">
        <v>4</v>
      </c>
      <c r="N4" s="18" t="str">
        <f>factores(L4)</f>
        <v>1</v>
      </c>
      <c r="O4" s="10">
        <f>SQRT(M4)</f>
        <v>2</v>
      </c>
      <c r="P4" s="19">
        <v>0.5</v>
      </c>
      <c r="Q4" s="18">
        <v>1</v>
      </c>
      <c r="R4" s="19"/>
      <c r="T4" s="15">
        <v>1</v>
      </c>
      <c r="U4" s="18">
        <v>12</v>
      </c>
      <c r="V4" s="18">
        <v>18</v>
      </c>
      <c r="W4" s="20" t="str">
        <f>factores(U4)</f>
        <v>3*2*2*1</v>
      </c>
      <c r="X4" s="18" t="str">
        <f>factores(V4)</f>
        <v>3*3*2*1</v>
      </c>
      <c r="Y4" s="20">
        <v>0.33333333333333331</v>
      </c>
      <c r="Z4" s="18">
        <v>6</v>
      </c>
      <c r="AA4" s="19">
        <f>TRUNC(SQRT(U4*2))/SQRT(V4*2)</f>
        <v>0.66666666666666663</v>
      </c>
      <c r="AC4" s="15">
        <v>1</v>
      </c>
      <c r="AD4" s="18">
        <v>1</v>
      </c>
      <c r="AE4" s="18">
        <v>2</v>
      </c>
      <c r="AF4" s="20" t="str">
        <f>factores(AD4)</f>
        <v>1</v>
      </c>
      <c r="AG4" s="18" t="str">
        <f>factores(AE4)</f>
        <v>2*1</v>
      </c>
      <c r="AH4" s="19">
        <f>TRUNC(SQRT(AD4*2))/SQRT(AE4*2)</f>
        <v>0.5</v>
      </c>
      <c r="AI4" s="10">
        <v>2</v>
      </c>
      <c r="AK4" s="15">
        <v>1</v>
      </c>
      <c r="AL4" s="18">
        <f>4+3</f>
        <v>7</v>
      </c>
      <c r="AM4" s="18">
        <v>4</v>
      </c>
      <c r="AN4" s="20" t="str">
        <f>factores(AL4)</f>
        <v>7*1</v>
      </c>
      <c r="AO4" s="18" t="str">
        <f>factores(AM4)</f>
        <v>2*2*1</v>
      </c>
      <c r="AP4" s="19">
        <v>0.5</v>
      </c>
      <c r="AQ4" s="10">
        <v>7</v>
      </c>
      <c r="AS4" s="15">
        <v>1</v>
      </c>
      <c r="AT4" s="20">
        <v>0.625</v>
      </c>
      <c r="AU4" s="21">
        <v>0.625</v>
      </c>
      <c r="AV4" s="22">
        <f t="shared" ref="AV4:AV14" si="0">ROUNDDOWN(SQRT(ROUND(AU4,7)),3)</f>
        <v>0.79</v>
      </c>
      <c r="AW4" s="23">
        <f t="shared" ref="AW4:AW14" si="1">ROUND(AT4*10000000,0)/10000000-AV4^2</f>
        <v>8.9999999999990088E-4</v>
      </c>
    </row>
    <row r="5" spans="1:49">
      <c r="A5" s="15">
        <v>2</v>
      </c>
      <c r="B5" s="15">
        <v>841</v>
      </c>
      <c r="C5" s="15">
        <f t="shared" ref="C5:C21" si="2">TRUNC(SQRT(B5))</f>
        <v>29</v>
      </c>
      <c r="D5" s="15">
        <f t="shared" ref="D5:D21" si="3">B5-C5^2</f>
        <v>0</v>
      </c>
      <c r="F5" s="15">
        <v>2</v>
      </c>
      <c r="G5" s="16">
        <v>5.29</v>
      </c>
      <c r="H5" s="17">
        <f>SQRT(G5)</f>
        <v>2.2999999999999998</v>
      </c>
      <c r="I5" s="18">
        <f t="shared" ref="I5:I21" si="4">G5-H5^2</f>
        <v>0</v>
      </c>
      <c r="K5" s="15">
        <v>2</v>
      </c>
      <c r="L5" s="18">
        <v>18</v>
      </c>
      <c r="M5" s="18">
        <v>25</v>
      </c>
      <c r="N5" s="18" t="str">
        <f t="shared" ref="N5:N18" si="5">factores(L5)</f>
        <v>3*3*2*1</v>
      </c>
      <c r="O5" s="10">
        <f t="shared" ref="O5:O18" si="6">SQRT(M5)</f>
        <v>5</v>
      </c>
      <c r="P5" s="19">
        <v>0.6</v>
      </c>
      <c r="Q5" s="18">
        <v>2</v>
      </c>
      <c r="R5" s="19">
        <f t="shared" ref="R5:R18" si="7">TRUNC(SQRT(L5))/SQRT(M5)</f>
        <v>0.8</v>
      </c>
      <c r="T5" s="15">
        <v>2</v>
      </c>
      <c r="U5" s="18">
        <v>8</v>
      </c>
      <c r="V5" s="18">
        <v>32</v>
      </c>
      <c r="W5" s="20" t="str">
        <f t="shared" ref="W5:W15" si="8">factores(U5)</f>
        <v>2*2*2*1</v>
      </c>
      <c r="X5" s="18" t="str">
        <f t="shared" ref="X5:X15" si="9">factores(V5)</f>
        <v>2*2*2*2*2*1</v>
      </c>
      <c r="Y5" s="20">
        <v>0.5</v>
      </c>
      <c r="Z5" s="18">
        <v>1</v>
      </c>
      <c r="AA5" s="19"/>
      <c r="AC5" s="15">
        <v>2</v>
      </c>
      <c r="AD5" s="18">
        <v>1</v>
      </c>
      <c r="AE5" s="18">
        <v>3</v>
      </c>
      <c r="AF5" s="20" t="str">
        <f t="shared" ref="AF5:AF39" si="10">factores(AD5)</f>
        <v>1</v>
      </c>
      <c r="AG5" s="18" t="str">
        <f t="shared" ref="AG5:AG39" si="11">factores(AE5)</f>
        <v>3*1</v>
      </c>
      <c r="AH5" s="19">
        <v>0.33333333333333331</v>
      </c>
      <c r="AI5" s="18">
        <v>3</v>
      </c>
      <c r="AK5" s="15">
        <v>2</v>
      </c>
      <c r="AL5" s="18">
        <f>14*5+1</f>
        <v>71</v>
      </c>
      <c r="AM5" s="18">
        <v>5</v>
      </c>
      <c r="AN5" s="20" t="str">
        <f t="shared" ref="AN5:AN12" si="12">factores(AL5)</f>
        <v>71*1</v>
      </c>
      <c r="AO5" s="18" t="str">
        <f t="shared" ref="AO5:AO12" si="13">factores(AM5)</f>
        <v>5*1</v>
      </c>
      <c r="AP5" s="19">
        <v>0.2</v>
      </c>
      <c r="AQ5" s="18">
        <f>71*5</f>
        <v>355</v>
      </c>
      <c r="AS5" s="15">
        <v>2</v>
      </c>
      <c r="AT5" s="20">
        <v>0.35</v>
      </c>
      <c r="AU5" s="21">
        <v>0.35</v>
      </c>
      <c r="AV5" s="22">
        <f t="shared" si="0"/>
        <v>0.59099999999999997</v>
      </c>
      <c r="AW5" s="23">
        <f t="shared" si="1"/>
        <v>7.1900000000002517E-4</v>
      </c>
    </row>
    <row r="6" spans="1:49">
      <c r="A6" s="15">
        <v>3</v>
      </c>
      <c r="B6" s="15">
        <v>3969</v>
      </c>
      <c r="C6" s="15">
        <f t="shared" si="2"/>
        <v>63</v>
      </c>
      <c r="D6" s="15">
        <f t="shared" si="3"/>
        <v>0</v>
      </c>
      <c r="F6" s="15">
        <v>3</v>
      </c>
      <c r="G6" s="16">
        <v>1E-4</v>
      </c>
      <c r="H6" s="24">
        <f>SQRT(G6)</f>
        <v>0.01</v>
      </c>
      <c r="I6" s="18">
        <f t="shared" si="4"/>
        <v>0</v>
      </c>
      <c r="K6" s="15">
        <v>3</v>
      </c>
      <c r="L6" s="18">
        <v>30</v>
      </c>
      <c r="M6" s="18">
        <v>49</v>
      </c>
      <c r="N6" s="18" t="str">
        <f t="shared" si="5"/>
        <v>5*3*2*1</v>
      </c>
      <c r="O6" s="10">
        <f t="shared" si="6"/>
        <v>7</v>
      </c>
      <c r="P6" s="19">
        <v>0.14285714285714285</v>
      </c>
      <c r="Q6" s="18">
        <v>30</v>
      </c>
      <c r="R6" s="19">
        <f t="shared" si="7"/>
        <v>0.7142857142857143</v>
      </c>
      <c r="T6" s="15">
        <v>3</v>
      </c>
      <c r="U6" s="18">
        <v>35</v>
      </c>
      <c r="V6" s="18">
        <v>80</v>
      </c>
      <c r="W6" s="20" t="str">
        <f t="shared" si="8"/>
        <v>7*5*1</v>
      </c>
      <c r="X6" s="18" t="str">
        <f t="shared" si="9"/>
        <v>5*2*2*2*2*1</v>
      </c>
      <c r="Y6" s="20">
        <v>0.25</v>
      </c>
      <c r="Z6" s="18">
        <v>7</v>
      </c>
      <c r="AA6" s="19">
        <f>TRUNC(SQRT(U6/5))/SQRT(V6/5)</f>
        <v>0.5</v>
      </c>
      <c r="AC6" s="15">
        <v>3</v>
      </c>
      <c r="AD6" s="18">
        <v>2</v>
      </c>
      <c r="AE6" s="18">
        <v>5</v>
      </c>
      <c r="AF6" s="20" t="str">
        <f t="shared" si="10"/>
        <v>2*1</v>
      </c>
      <c r="AG6" s="18" t="str">
        <f t="shared" si="11"/>
        <v>5*1</v>
      </c>
      <c r="AH6" s="19">
        <v>0.2</v>
      </c>
      <c r="AI6" s="10">
        <v>10</v>
      </c>
      <c r="AK6" s="15">
        <v>3</v>
      </c>
      <c r="AL6" s="18">
        <f>3*72+1</f>
        <v>217</v>
      </c>
      <c r="AM6" s="18">
        <v>72</v>
      </c>
      <c r="AN6" s="20" t="str">
        <f t="shared" si="12"/>
        <v>31*7*1</v>
      </c>
      <c r="AO6" s="18" t="str">
        <f t="shared" si="13"/>
        <v>3*3*2*2*2*1</v>
      </c>
      <c r="AP6" s="19">
        <v>8.3333333333333329E-2</v>
      </c>
      <c r="AQ6" s="10">
        <f>31*7*2</f>
        <v>434</v>
      </c>
      <c r="AS6" s="15">
        <v>3</v>
      </c>
      <c r="AT6" s="20">
        <v>0.22222222222222221</v>
      </c>
      <c r="AU6" s="21">
        <v>0.22222222222222221</v>
      </c>
      <c r="AV6" s="22">
        <f t="shared" si="0"/>
        <v>0.47099999999999997</v>
      </c>
      <c r="AW6" s="23">
        <f t="shared" si="1"/>
        <v>3.8120000000002596E-4</v>
      </c>
    </row>
    <row r="7" spans="1:49">
      <c r="A7" s="15">
        <v>4</v>
      </c>
      <c r="B7" s="15">
        <v>9409</v>
      </c>
      <c r="C7" s="15">
        <f t="shared" si="2"/>
        <v>97</v>
      </c>
      <c r="D7" s="15">
        <f t="shared" si="3"/>
        <v>0</v>
      </c>
      <c r="F7" s="15">
        <v>4</v>
      </c>
      <c r="G7" s="16">
        <v>2.3409</v>
      </c>
      <c r="H7" s="24">
        <f>SQRT(G7)</f>
        <v>1.53</v>
      </c>
      <c r="I7" s="18">
        <f t="shared" si="4"/>
        <v>0</v>
      </c>
      <c r="K7" s="15">
        <v>4</v>
      </c>
      <c r="L7" s="18">
        <v>50</v>
      </c>
      <c r="M7" s="18">
        <v>36</v>
      </c>
      <c r="N7" s="18" t="str">
        <f t="shared" si="5"/>
        <v>5*5*2*1</v>
      </c>
      <c r="O7" s="10">
        <f t="shared" si="6"/>
        <v>6</v>
      </c>
      <c r="P7" s="19">
        <v>0.83333333333333337</v>
      </c>
      <c r="Q7" s="18">
        <v>2</v>
      </c>
      <c r="R7" s="19">
        <f t="shared" si="7"/>
        <v>1.1666666666666667</v>
      </c>
      <c r="T7" s="15">
        <v>4</v>
      </c>
      <c r="U7" s="18">
        <v>14</v>
      </c>
      <c r="V7" s="18">
        <v>175</v>
      </c>
      <c r="W7" s="20" t="str">
        <f t="shared" si="8"/>
        <v>7*2*1</v>
      </c>
      <c r="X7" s="18" t="str">
        <f t="shared" si="9"/>
        <v>7*5*5*1</v>
      </c>
      <c r="Y7" s="20">
        <v>0.2</v>
      </c>
      <c r="Z7" s="18">
        <v>2</v>
      </c>
      <c r="AA7" s="19">
        <f>TRUNC(SQRT(U7/7))/SQRT(V7/7)</f>
        <v>0.2</v>
      </c>
      <c r="AC7" s="15">
        <v>4</v>
      </c>
      <c r="AD7" s="18">
        <v>3</v>
      </c>
      <c r="AE7" s="18">
        <v>8</v>
      </c>
      <c r="AF7" s="20" t="str">
        <f t="shared" si="10"/>
        <v>3*1</v>
      </c>
      <c r="AG7" s="18" t="str">
        <f t="shared" si="11"/>
        <v>2*2*2*1</v>
      </c>
      <c r="AH7" s="19">
        <v>0.25</v>
      </c>
      <c r="AI7" s="18">
        <v>6</v>
      </c>
      <c r="AK7" s="15">
        <v>4</v>
      </c>
      <c r="AL7" s="18">
        <f>6*20+1</f>
        <v>121</v>
      </c>
      <c r="AM7" s="18">
        <v>20</v>
      </c>
      <c r="AN7" s="20" t="str">
        <f t="shared" si="12"/>
        <v>11*11*1</v>
      </c>
      <c r="AO7" s="18" t="str">
        <f t="shared" si="13"/>
        <v>5*2*2*1</v>
      </c>
      <c r="AP7" s="19">
        <v>1.1000000000000001</v>
      </c>
      <c r="AQ7" s="18">
        <v>5</v>
      </c>
      <c r="AS7" s="15">
        <v>4</v>
      </c>
      <c r="AT7" s="20">
        <v>0.17499999999999999</v>
      </c>
      <c r="AU7" s="21">
        <v>0.17499999999999999</v>
      </c>
      <c r="AV7" s="22">
        <f t="shared" si="0"/>
        <v>0.41799999999999998</v>
      </c>
      <c r="AW7" s="23">
        <f t="shared" si="1"/>
        <v>2.7599999999999847E-4</v>
      </c>
    </row>
    <row r="8" spans="1:49">
      <c r="A8" s="15">
        <v>5</v>
      </c>
      <c r="B8" s="15">
        <v>9801</v>
      </c>
      <c r="C8" s="15">
        <f t="shared" si="2"/>
        <v>99</v>
      </c>
      <c r="D8" s="15">
        <f t="shared" si="3"/>
        <v>0</v>
      </c>
      <c r="F8" s="15">
        <v>5</v>
      </c>
      <c r="G8" s="16">
        <v>25.100100000000001</v>
      </c>
      <c r="H8" s="24">
        <f>SQRT(G8)</f>
        <v>5.01</v>
      </c>
      <c r="I8" s="18">
        <f t="shared" si="4"/>
        <v>0</v>
      </c>
      <c r="K8" s="15">
        <v>5</v>
      </c>
      <c r="L8" s="18">
        <v>60</v>
      </c>
      <c r="M8" s="18">
        <v>81</v>
      </c>
      <c r="N8" s="18" t="str">
        <f t="shared" si="5"/>
        <v>5*3*2*2*1</v>
      </c>
      <c r="O8" s="10">
        <f t="shared" si="6"/>
        <v>9</v>
      </c>
      <c r="P8" s="19">
        <v>0.22222222222222221</v>
      </c>
      <c r="Q8" s="18">
        <v>15</v>
      </c>
      <c r="R8" s="19">
        <f t="shared" si="7"/>
        <v>0.77777777777777779</v>
      </c>
      <c r="T8" s="15">
        <v>5</v>
      </c>
      <c r="U8" s="18">
        <v>21</v>
      </c>
      <c r="V8" s="18">
        <v>108</v>
      </c>
      <c r="W8" s="20" t="str">
        <f t="shared" si="8"/>
        <v>7*3*1</v>
      </c>
      <c r="X8" s="18" t="str">
        <f t="shared" si="9"/>
        <v>3*3*3*2*2*1</v>
      </c>
      <c r="Y8" s="20">
        <v>0.16666666666666666</v>
      </c>
      <c r="Z8" s="18">
        <v>7</v>
      </c>
      <c r="AA8" s="19">
        <f>TRUNC(SQRT(U8/3))/SQRT(V8/3)</f>
        <v>0.33333333333333331</v>
      </c>
      <c r="AC8" s="15">
        <v>5</v>
      </c>
      <c r="AD8" s="18">
        <v>11</v>
      </c>
      <c r="AE8" s="18">
        <v>72</v>
      </c>
      <c r="AF8" s="20" t="str">
        <f t="shared" si="10"/>
        <v>11*1</v>
      </c>
      <c r="AG8" s="18" t="str">
        <f t="shared" si="11"/>
        <v>3*3*2*2*2*1</v>
      </c>
      <c r="AH8" s="19">
        <v>8.3333333333333329E-2</v>
      </c>
      <c r="AI8" s="10">
        <v>22</v>
      </c>
      <c r="AK8" s="15">
        <v>5</v>
      </c>
      <c r="AL8" s="18">
        <f>15*27+2</f>
        <v>407</v>
      </c>
      <c r="AM8" s="18">
        <v>27</v>
      </c>
      <c r="AN8" s="20" t="str">
        <f t="shared" si="12"/>
        <v>37*11*1</v>
      </c>
      <c r="AO8" s="18" t="str">
        <f t="shared" si="13"/>
        <v>3*3*3*1</v>
      </c>
      <c r="AP8" s="19">
        <v>0.1111111111111111</v>
      </c>
      <c r="AQ8" s="10">
        <f>37*11*3</f>
        <v>1221</v>
      </c>
      <c r="AS8" s="15">
        <v>5</v>
      </c>
      <c r="AT8" s="20">
        <v>0.2</v>
      </c>
      <c r="AU8" s="21">
        <v>0.2</v>
      </c>
      <c r="AV8" s="22">
        <f t="shared" si="0"/>
        <v>0.44700000000000001</v>
      </c>
      <c r="AW8" s="23">
        <f t="shared" si="1"/>
        <v>1.9099999999999673E-4</v>
      </c>
    </row>
    <row r="9" spans="1:49">
      <c r="A9" s="15">
        <v>6</v>
      </c>
      <c r="B9" s="15">
        <v>10201</v>
      </c>
      <c r="C9" s="15">
        <f t="shared" si="2"/>
        <v>101</v>
      </c>
      <c r="D9" s="15">
        <f t="shared" si="3"/>
        <v>0</v>
      </c>
      <c r="F9" s="15">
        <v>6</v>
      </c>
      <c r="G9" s="25">
        <v>1.3309999999999999E-3</v>
      </c>
      <c r="H9" s="16">
        <f>TRUNC(SQRT(G9*1000000))/1000</f>
        <v>3.5999999999999997E-2</v>
      </c>
      <c r="I9" s="23">
        <f t="shared" si="4"/>
        <v>3.5000000000000092E-5</v>
      </c>
      <c r="K9" s="15">
        <v>6</v>
      </c>
      <c r="L9" s="18">
        <v>42</v>
      </c>
      <c r="M9" s="18">
        <v>64</v>
      </c>
      <c r="N9" s="18" t="str">
        <f t="shared" si="5"/>
        <v>7*3*2*1</v>
      </c>
      <c r="O9" s="10">
        <f t="shared" si="6"/>
        <v>8</v>
      </c>
      <c r="P9" s="19">
        <v>0.125</v>
      </c>
      <c r="Q9" s="18">
        <v>42</v>
      </c>
      <c r="R9" s="19">
        <f t="shared" si="7"/>
        <v>0.75</v>
      </c>
      <c r="T9" s="15">
        <v>6</v>
      </c>
      <c r="U9" s="18">
        <v>80</v>
      </c>
      <c r="V9" s="18">
        <v>245</v>
      </c>
      <c r="W9" s="20" t="str">
        <f t="shared" si="8"/>
        <v>5*2*2*2*2*1</v>
      </c>
      <c r="X9" s="18" t="str">
        <f t="shared" si="9"/>
        <v>7*7*5*1</v>
      </c>
      <c r="Y9" s="20">
        <v>0.5714285714285714</v>
      </c>
      <c r="Z9" s="18">
        <v>1</v>
      </c>
      <c r="AA9" s="19"/>
      <c r="AC9" s="15">
        <v>6</v>
      </c>
      <c r="AD9" s="18">
        <v>10</v>
      </c>
      <c r="AE9" s="18">
        <v>14</v>
      </c>
      <c r="AF9" s="20" t="str">
        <f t="shared" si="10"/>
        <v>5*2*1</v>
      </c>
      <c r="AG9" s="18" t="str">
        <f t="shared" si="11"/>
        <v>7*2*1</v>
      </c>
      <c r="AH9" s="19">
        <v>0.14285714285714285</v>
      </c>
      <c r="AI9" s="18">
        <v>35</v>
      </c>
      <c r="AK9" s="15">
        <v>6</v>
      </c>
      <c r="AL9" s="18">
        <f>3*25+6</f>
        <v>81</v>
      </c>
      <c r="AM9" s="18">
        <v>25</v>
      </c>
      <c r="AN9" s="20" t="str">
        <f t="shared" si="12"/>
        <v>3*3*3*3*1</v>
      </c>
      <c r="AO9" s="18" t="str">
        <f t="shared" si="13"/>
        <v>5*5*1</v>
      </c>
      <c r="AP9" s="19">
        <v>1.8</v>
      </c>
      <c r="AQ9" s="18">
        <v>1</v>
      </c>
      <c r="AS9" s="15">
        <v>6</v>
      </c>
      <c r="AT9" s="20">
        <v>0.13750000000000001</v>
      </c>
      <c r="AU9" s="21">
        <v>0.13750000000000001</v>
      </c>
      <c r="AV9" s="22">
        <f t="shared" si="0"/>
        <v>0.37</v>
      </c>
      <c r="AW9" s="23">
        <f t="shared" si="1"/>
        <v>6.0000000000001719E-4</v>
      </c>
    </row>
    <row r="10" spans="1:49">
      <c r="A10" s="15">
        <v>7</v>
      </c>
      <c r="B10" s="15">
        <v>11881</v>
      </c>
      <c r="C10" s="15">
        <f t="shared" si="2"/>
        <v>109</v>
      </c>
      <c r="D10" s="15">
        <f t="shared" si="3"/>
        <v>0</v>
      </c>
      <c r="F10" s="15">
        <v>7</v>
      </c>
      <c r="G10" s="16">
        <v>9.8596000000000004</v>
      </c>
      <c r="H10" s="24">
        <f>SQRT(G10)</f>
        <v>3.14</v>
      </c>
      <c r="I10" s="18">
        <f t="shared" si="4"/>
        <v>0</v>
      </c>
      <c r="K10" s="15">
        <v>7</v>
      </c>
      <c r="L10" s="18">
        <v>63</v>
      </c>
      <c r="M10" s="18">
        <v>100</v>
      </c>
      <c r="N10" s="18" t="str">
        <f t="shared" si="5"/>
        <v>7*3*3*1</v>
      </c>
      <c r="O10" s="10">
        <f t="shared" si="6"/>
        <v>10</v>
      </c>
      <c r="P10" s="19">
        <v>0.3</v>
      </c>
      <c r="Q10" s="18">
        <v>7</v>
      </c>
      <c r="R10" s="19">
        <f t="shared" si="7"/>
        <v>0.7</v>
      </c>
      <c r="T10" s="15">
        <v>7</v>
      </c>
      <c r="U10" s="18">
        <v>18</v>
      </c>
      <c r="V10" s="18">
        <v>486</v>
      </c>
      <c r="W10" s="20" t="str">
        <f t="shared" si="8"/>
        <v>3*3*2*1</v>
      </c>
      <c r="X10" s="18" t="str">
        <f t="shared" si="9"/>
        <v>3*3*3*3*3*2*1</v>
      </c>
      <c r="Y10" s="20">
        <v>0.1111111111111111</v>
      </c>
      <c r="Z10" s="18">
        <v>3</v>
      </c>
      <c r="AA10" s="19">
        <f>TRUNC(SQRT(U10/6))/SQRT(V10/6)</f>
        <v>0.1111111111111111</v>
      </c>
      <c r="AC10" s="15">
        <v>7</v>
      </c>
      <c r="AD10" s="18">
        <v>7</v>
      </c>
      <c r="AE10" s="18">
        <v>20</v>
      </c>
      <c r="AF10" s="20" t="str">
        <f t="shared" si="10"/>
        <v>7*1</v>
      </c>
      <c r="AG10" s="18" t="str">
        <f t="shared" si="11"/>
        <v>5*2*2*1</v>
      </c>
      <c r="AH10" s="19">
        <v>0.1</v>
      </c>
      <c r="AI10" s="18">
        <v>35</v>
      </c>
      <c r="AK10" s="15">
        <v>7</v>
      </c>
      <c r="AL10" s="18">
        <f>14*17+1</f>
        <v>239</v>
      </c>
      <c r="AM10" s="18">
        <v>17</v>
      </c>
      <c r="AN10" s="20" t="str">
        <f t="shared" si="12"/>
        <v>239*1</v>
      </c>
      <c r="AO10" s="18" t="str">
        <f t="shared" si="13"/>
        <v>17*1</v>
      </c>
      <c r="AP10" s="19">
        <v>5.8823529411764705E-2</v>
      </c>
      <c r="AQ10" s="18">
        <f>239*17</f>
        <v>4063</v>
      </c>
      <c r="AS10" s="15">
        <v>7</v>
      </c>
      <c r="AT10" s="20">
        <v>0.26666666666666666</v>
      </c>
      <c r="AU10" s="21">
        <v>0.26666666666666666</v>
      </c>
      <c r="AV10" s="22">
        <f t="shared" si="0"/>
        <v>0.51600000000000001</v>
      </c>
      <c r="AW10" s="23">
        <f t="shared" si="1"/>
        <v>4.1069999999998608E-4</v>
      </c>
    </row>
    <row r="11" spans="1:49">
      <c r="A11" s="15">
        <v>8</v>
      </c>
      <c r="B11" s="15">
        <v>254016</v>
      </c>
      <c r="C11" s="15">
        <f t="shared" si="2"/>
        <v>504</v>
      </c>
      <c r="D11" s="15">
        <f t="shared" si="3"/>
        <v>0</v>
      </c>
      <c r="F11" s="15">
        <v>8</v>
      </c>
      <c r="G11" s="16">
        <v>49.843600000000002</v>
      </c>
      <c r="H11" s="24">
        <f>SQRT(G11)</f>
        <v>7.0600000000000005</v>
      </c>
      <c r="I11" s="18">
        <f t="shared" si="4"/>
        <v>0</v>
      </c>
      <c r="K11" s="15">
        <v>8</v>
      </c>
      <c r="L11" s="18">
        <v>80</v>
      </c>
      <c r="M11" s="18">
        <v>121</v>
      </c>
      <c r="N11" s="18" t="str">
        <f t="shared" si="5"/>
        <v>5*2*2*2*2*1</v>
      </c>
      <c r="O11" s="10">
        <f t="shared" si="6"/>
        <v>11</v>
      </c>
      <c r="P11" s="19">
        <v>0.36363636363636365</v>
      </c>
      <c r="Q11" s="18">
        <v>5</v>
      </c>
      <c r="R11" s="19">
        <f t="shared" si="7"/>
        <v>0.72727272727272729</v>
      </c>
      <c r="T11" s="15">
        <v>8</v>
      </c>
      <c r="U11" s="18">
        <v>84</v>
      </c>
      <c r="V11" s="18">
        <v>700</v>
      </c>
      <c r="W11" s="20" t="str">
        <f t="shared" si="8"/>
        <v>7*3*2*2*1</v>
      </c>
      <c r="X11" s="18" t="str">
        <f t="shared" si="9"/>
        <v>7*5*5*2*2*1</v>
      </c>
      <c r="Y11" s="20">
        <v>0.2</v>
      </c>
      <c r="Z11" s="18">
        <v>3</v>
      </c>
      <c r="AA11" s="19">
        <f>TRUNC(SQRT(U11/7))/SQRT(V11/7)</f>
        <v>0.3</v>
      </c>
      <c r="AC11" s="15">
        <v>8</v>
      </c>
      <c r="AD11" s="18">
        <v>1</v>
      </c>
      <c r="AE11" s="18">
        <v>6</v>
      </c>
      <c r="AF11" s="20" t="str">
        <f t="shared" si="10"/>
        <v>1</v>
      </c>
      <c r="AG11" s="18" t="str">
        <f t="shared" si="11"/>
        <v>3*2*1</v>
      </c>
      <c r="AH11" s="19">
        <v>0.16666666666666666</v>
      </c>
      <c r="AI11" s="18">
        <v>6</v>
      </c>
      <c r="AK11" s="15">
        <v>8</v>
      </c>
      <c r="AL11" s="18">
        <f>3*40+1</f>
        <v>121</v>
      </c>
      <c r="AM11" s="18">
        <v>40</v>
      </c>
      <c r="AN11" s="20" t="str">
        <f t="shared" si="12"/>
        <v>11*11*1</v>
      </c>
      <c r="AO11" s="18" t="str">
        <f t="shared" si="13"/>
        <v>5*2*2*2*1</v>
      </c>
      <c r="AP11" s="19">
        <v>0.55000000000000004</v>
      </c>
      <c r="AQ11" s="18">
        <v>10</v>
      </c>
      <c r="AS11" s="15">
        <v>8</v>
      </c>
      <c r="AT11" s="20">
        <v>0.1368421052631579</v>
      </c>
      <c r="AU11" s="21">
        <v>0.1368421052631579</v>
      </c>
      <c r="AV11" s="22">
        <f t="shared" si="0"/>
        <v>0.36899999999999999</v>
      </c>
      <c r="AW11" s="23">
        <f t="shared" si="1"/>
        <v>6.8109999999999005E-4</v>
      </c>
    </row>
    <row r="12" spans="1:49">
      <c r="A12" s="15">
        <v>9</v>
      </c>
      <c r="B12" s="15">
        <v>603729</v>
      </c>
      <c r="C12" s="15">
        <f t="shared" si="2"/>
        <v>777</v>
      </c>
      <c r="D12" s="15">
        <f t="shared" si="3"/>
        <v>0</v>
      </c>
      <c r="F12" s="15">
        <v>9</v>
      </c>
      <c r="G12" s="16">
        <v>9.5030000000000001</v>
      </c>
      <c r="H12" s="24">
        <f>TRUNC(SQRT(G12*10000))/100</f>
        <v>3.08</v>
      </c>
      <c r="I12" s="16">
        <f t="shared" si="4"/>
        <v>1.6600000000000392E-2</v>
      </c>
      <c r="K12" s="15">
        <v>9</v>
      </c>
      <c r="L12" s="18">
        <v>96</v>
      </c>
      <c r="M12" s="18">
        <v>169</v>
      </c>
      <c r="N12" s="18" t="str">
        <f t="shared" si="5"/>
        <v>3*2*2*2*2*2*1</v>
      </c>
      <c r="O12" s="10">
        <f t="shared" si="6"/>
        <v>13</v>
      </c>
      <c r="P12" s="19">
        <v>0.30769230769230771</v>
      </c>
      <c r="Q12" s="18">
        <v>6</v>
      </c>
      <c r="R12" s="19">
        <f t="shared" si="7"/>
        <v>0.69230769230769229</v>
      </c>
      <c r="T12" s="15">
        <v>9</v>
      </c>
      <c r="U12" s="18">
        <v>96</v>
      </c>
      <c r="V12" s="18">
        <v>968</v>
      </c>
      <c r="W12" s="20" t="str">
        <f t="shared" si="8"/>
        <v>3*2*2*2*2*2*1</v>
      </c>
      <c r="X12" s="18" t="str">
        <f t="shared" si="9"/>
        <v>11*11*2*2*2*1</v>
      </c>
      <c r="Y12" s="20">
        <v>0.18181818181818182</v>
      </c>
      <c r="Z12" s="18">
        <v>3</v>
      </c>
      <c r="AA12" s="19">
        <f>TRUNC(SQRT(U12/2))/SQRT(V12/2)</f>
        <v>0.27272727272727271</v>
      </c>
      <c r="AC12" s="15">
        <v>9</v>
      </c>
      <c r="AD12" s="18">
        <v>5</v>
      </c>
      <c r="AE12" s="18">
        <v>24</v>
      </c>
      <c r="AF12" s="20" t="str">
        <f t="shared" si="10"/>
        <v>5*1</v>
      </c>
      <c r="AG12" s="18" t="str">
        <f t="shared" si="11"/>
        <v>3*2*2*2*1</v>
      </c>
      <c r="AH12" s="19">
        <v>8.3333333333333329E-2</v>
      </c>
      <c r="AI12" s="18">
        <v>30</v>
      </c>
      <c r="AK12" s="15">
        <v>9</v>
      </c>
      <c r="AL12" s="10">
        <f>4*90+1</f>
        <v>361</v>
      </c>
      <c r="AM12" s="18">
        <v>90</v>
      </c>
      <c r="AN12" s="20" t="str">
        <f t="shared" si="12"/>
        <v>19*19*1</v>
      </c>
      <c r="AO12" s="18" t="str">
        <f t="shared" si="13"/>
        <v>5*3*3*2*1</v>
      </c>
      <c r="AP12" s="19">
        <v>0.6333333333333333</v>
      </c>
      <c r="AQ12" s="18">
        <v>10</v>
      </c>
      <c r="AS12" s="15">
        <v>9</v>
      </c>
      <c r="AT12" s="20">
        <v>4.7222222222222221E-2</v>
      </c>
      <c r="AU12" s="21">
        <v>4.7222222222222221E-2</v>
      </c>
      <c r="AV12" s="22">
        <f t="shared" si="0"/>
        <v>0.217</v>
      </c>
      <c r="AW12" s="23">
        <f t="shared" si="1"/>
        <v>1.3319999999999999E-4</v>
      </c>
    </row>
    <row r="13" spans="1:49">
      <c r="A13" s="15">
        <v>10</v>
      </c>
      <c r="B13" s="15">
        <v>641601</v>
      </c>
      <c r="C13" s="15">
        <f t="shared" si="2"/>
        <v>801</v>
      </c>
      <c r="D13" s="15">
        <f t="shared" si="3"/>
        <v>0</v>
      </c>
      <c r="F13" s="15">
        <v>10</v>
      </c>
      <c r="G13" s="26">
        <v>0.32564320000000002</v>
      </c>
      <c r="H13" s="16">
        <f>TRUNC(SQRT(G13*100000000))/10000</f>
        <v>0.5706</v>
      </c>
      <c r="I13" s="27">
        <f t="shared" si="4"/>
        <v>5.8840000000004444E-5</v>
      </c>
      <c r="K13" s="15">
        <v>10</v>
      </c>
      <c r="L13" s="18">
        <v>121</v>
      </c>
      <c r="M13" s="18">
        <v>144</v>
      </c>
      <c r="N13" s="18" t="str">
        <f t="shared" si="5"/>
        <v>11*11*1</v>
      </c>
      <c r="O13" s="10">
        <f t="shared" si="6"/>
        <v>12</v>
      </c>
      <c r="P13" s="19">
        <v>0.91666666666666663</v>
      </c>
      <c r="Q13" s="18">
        <v>1</v>
      </c>
      <c r="R13" s="19"/>
      <c r="T13" s="15">
        <v>10</v>
      </c>
      <c r="U13" s="18">
        <v>6</v>
      </c>
      <c r="V13" s="18">
        <v>294</v>
      </c>
      <c r="W13" s="20" t="str">
        <f t="shared" si="8"/>
        <v>3*2*1</v>
      </c>
      <c r="X13" s="18" t="str">
        <f t="shared" si="9"/>
        <v>7*7*3*2*1</v>
      </c>
      <c r="Y13" s="20">
        <v>0.14285714285714285</v>
      </c>
      <c r="Z13" s="18">
        <v>1</v>
      </c>
      <c r="AA13" s="19"/>
      <c r="AC13" s="15">
        <v>10</v>
      </c>
      <c r="AD13" s="18">
        <v>4</v>
      </c>
      <c r="AE13" s="18">
        <v>27</v>
      </c>
      <c r="AF13" s="20" t="str">
        <f t="shared" si="10"/>
        <v>2*2*1</v>
      </c>
      <c r="AG13" s="18" t="str">
        <f t="shared" si="11"/>
        <v>3*3*3*1</v>
      </c>
      <c r="AH13" s="19">
        <v>0.22222222222222221</v>
      </c>
      <c r="AI13" s="18">
        <v>3</v>
      </c>
      <c r="AS13" s="15">
        <v>10</v>
      </c>
      <c r="AT13" s="20">
        <v>5.1764705882352944</v>
      </c>
      <c r="AU13" s="21">
        <v>5.1764705882352944</v>
      </c>
      <c r="AV13" s="22">
        <f t="shared" si="0"/>
        <v>2.2749999999999999</v>
      </c>
      <c r="AW13" s="23">
        <f t="shared" si="1"/>
        <v>8.4560000000077906E-4</v>
      </c>
    </row>
    <row r="14" spans="1:49">
      <c r="A14" s="15">
        <v>11</v>
      </c>
      <c r="B14" s="15">
        <v>822649</v>
      </c>
      <c r="C14" s="15">
        <f t="shared" si="2"/>
        <v>907</v>
      </c>
      <c r="D14" s="15">
        <f t="shared" si="3"/>
        <v>0</v>
      </c>
      <c r="F14" s="15">
        <v>11</v>
      </c>
      <c r="G14" s="28">
        <v>17.896450000000002</v>
      </c>
      <c r="H14" s="24">
        <f>TRUNC(SQRT(G14*1000000))/1000</f>
        <v>4.2300000000000004</v>
      </c>
      <c r="I14" s="28">
        <f t="shared" si="4"/>
        <v>3.5499999999970555E-3</v>
      </c>
      <c r="K14" s="15">
        <v>11</v>
      </c>
      <c r="L14" s="18">
        <v>40</v>
      </c>
      <c r="M14" s="18">
        <v>289</v>
      </c>
      <c r="N14" s="18" t="str">
        <f t="shared" si="5"/>
        <v>5*2*2*2*1</v>
      </c>
      <c r="O14" s="10">
        <f t="shared" si="6"/>
        <v>17</v>
      </c>
      <c r="P14" s="19">
        <v>0.11764705882352941</v>
      </c>
      <c r="Q14" s="18">
        <v>10</v>
      </c>
      <c r="R14" s="19">
        <f t="shared" si="7"/>
        <v>0.35294117647058826</v>
      </c>
      <c r="T14" s="15">
        <v>11</v>
      </c>
      <c r="U14" s="18">
        <v>7</v>
      </c>
      <c r="V14" s="18">
        <v>567</v>
      </c>
      <c r="W14" s="20" t="str">
        <f t="shared" si="8"/>
        <v>7*1</v>
      </c>
      <c r="X14" s="18" t="str">
        <f t="shared" si="9"/>
        <v>7*3*3*3*3*1</v>
      </c>
      <c r="Y14" s="20">
        <v>0.1111111111111111</v>
      </c>
      <c r="Z14" s="18">
        <v>1</v>
      </c>
      <c r="AA14" s="19"/>
      <c r="AC14" s="15">
        <v>11</v>
      </c>
      <c r="AD14" s="18">
        <v>1</v>
      </c>
      <c r="AE14" s="18">
        <v>40</v>
      </c>
      <c r="AF14" s="20" t="str">
        <f t="shared" si="10"/>
        <v>1</v>
      </c>
      <c r="AG14" s="18" t="str">
        <f t="shared" si="11"/>
        <v>5*2*2*2*1</v>
      </c>
      <c r="AH14" s="19">
        <v>0.05</v>
      </c>
      <c r="AI14" s="18">
        <v>10</v>
      </c>
      <c r="AS14" s="15">
        <v>11</v>
      </c>
      <c r="AT14" s="20">
        <v>2.258064516129032</v>
      </c>
      <c r="AU14" s="21">
        <v>2.258064516129032</v>
      </c>
      <c r="AV14" s="22">
        <f t="shared" si="0"/>
        <v>1.502</v>
      </c>
      <c r="AW14" s="23">
        <f t="shared" si="1"/>
        <v>2.0605000000002427E-3</v>
      </c>
    </row>
    <row r="15" spans="1:49">
      <c r="A15" s="15">
        <v>12</v>
      </c>
      <c r="B15" s="15">
        <v>870620</v>
      </c>
      <c r="C15" s="15">
        <f t="shared" si="2"/>
        <v>933</v>
      </c>
      <c r="D15" s="15">
        <f t="shared" si="3"/>
        <v>131</v>
      </c>
      <c r="F15" s="15">
        <v>12</v>
      </c>
      <c r="G15" s="28">
        <v>135.05643000000001</v>
      </c>
      <c r="H15" s="22">
        <f>TRUNC(SQRT(G15*1000000))/1000</f>
        <v>11.621</v>
      </c>
      <c r="I15" s="25">
        <f t="shared" si="4"/>
        <v>8.7890000000072632E-3</v>
      </c>
      <c r="K15" s="15">
        <v>12</v>
      </c>
      <c r="L15" s="18">
        <v>81</v>
      </c>
      <c r="M15" s="18">
        <v>225</v>
      </c>
      <c r="N15" s="18" t="str">
        <f t="shared" si="5"/>
        <v>3*3*3*3*1</v>
      </c>
      <c r="O15" s="10">
        <f t="shared" si="6"/>
        <v>15</v>
      </c>
      <c r="P15" s="19">
        <v>0.6</v>
      </c>
      <c r="Q15" s="18">
        <v>1</v>
      </c>
      <c r="R15" s="19"/>
      <c r="T15" s="15">
        <v>12</v>
      </c>
      <c r="U15" s="18">
        <v>40</v>
      </c>
      <c r="V15" s="18">
        <v>2000</v>
      </c>
      <c r="W15" s="20" t="str">
        <f t="shared" si="8"/>
        <v>5*2*2*2*1</v>
      </c>
      <c r="X15" s="18" t="str">
        <f t="shared" si="9"/>
        <v>5*5*5*2*2*2*2*1</v>
      </c>
      <c r="Y15" s="20">
        <v>0.1</v>
      </c>
      <c r="Z15" s="18">
        <v>2</v>
      </c>
      <c r="AA15" s="19">
        <f>TRUNC(SQRT(U15/5))/SQRT(V15/5)</f>
        <v>0.1</v>
      </c>
      <c r="AC15" s="15">
        <v>12</v>
      </c>
      <c r="AD15" s="18">
        <v>7</v>
      </c>
      <c r="AE15" s="18">
        <v>54</v>
      </c>
      <c r="AF15" s="20" t="str">
        <f t="shared" si="10"/>
        <v>7*1</v>
      </c>
      <c r="AG15" s="18" t="str">
        <f t="shared" si="11"/>
        <v>3*3*3*2*1</v>
      </c>
      <c r="AH15" s="19">
        <v>5.5555555555555552E-2</v>
      </c>
      <c r="AI15" s="18">
        <v>42</v>
      </c>
      <c r="AS15" s="15">
        <v>12</v>
      </c>
      <c r="AT15" s="20">
        <v>9.1224489795918373</v>
      </c>
      <c r="AU15" s="21">
        <v>9.1224489795918373</v>
      </c>
      <c r="AV15" s="22">
        <f>ROUNDDOWN(SQRT(ROUND(AU15,7)),3)</f>
        <v>3.02</v>
      </c>
      <c r="AW15" s="23">
        <f>ROUND(AT15*10000000,0)/10000000-AV15^2</f>
        <v>2.0489999999995234E-3</v>
      </c>
    </row>
    <row r="16" spans="1:49">
      <c r="A16" s="15">
        <v>13</v>
      </c>
      <c r="B16" s="15">
        <v>999437</v>
      </c>
      <c r="C16" s="15">
        <f t="shared" si="2"/>
        <v>999</v>
      </c>
      <c r="D16" s="15">
        <f t="shared" si="3"/>
        <v>1436</v>
      </c>
      <c r="F16" s="15">
        <v>13</v>
      </c>
      <c r="G16" s="22">
        <v>100.20099999999999</v>
      </c>
      <c r="H16" s="24">
        <f>TRUNC(SQRT(G16*10000))/100</f>
        <v>10.01</v>
      </c>
      <c r="I16" s="16">
        <f t="shared" si="4"/>
        <v>9.0000000000145519E-4</v>
      </c>
      <c r="K16" s="15">
        <v>13</v>
      </c>
      <c r="L16" s="18">
        <v>90</v>
      </c>
      <c r="M16" s="18">
        <v>256</v>
      </c>
      <c r="N16" s="18" t="str">
        <f t="shared" si="5"/>
        <v>5*3*3*2*1</v>
      </c>
      <c r="O16" s="10">
        <f t="shared" si="6"/>
        <v>16</v>
      </c>
      <c r="P16" s="19">
        <v>0.1875</v>
      </c>
      <c r="Q16" s="18">
        <v>10</v>
      </c>
      <c r="R16" s="19">
        <f t="shared" si="7"/>
        <v>0.5625</v>
      </c>
      <c r="T16" s="15"/>
      <c r="U16" s="18"/>
      <c r="V16" s="18"/>
      <c r="W16" s="18"/>
      <c r="X16" s="18"/>
      <c r="Y16" s="18"/>
      <c r="Z16" s="18"/>
      <c r="AA16" s="19"/>
      <c r="AC16" s="15">
        <v>13</v>
      </c>
      <c r="AD16" s="18">
        <v>9</v>
      </c>
      <c r="AE16" s="18">
        <v>80</v>
      </c>
      <c r="AF16" s="20" t="str">
        <f t="shared" si="10"/>
        <v>3*3*1</v>
      </c>
      <c r="AG16" s="18" t="str">
        <f t="shared" si="11"/>
        <v>5*2*2*2*2*1</v>
      </c>
      <c r="AH16" s="19">
        <v>0.15</v>
      </c>
      <c r="AI16" s="18">
        <v>5</v>
      </c>
      <c r="AS16" s="15"/>
      <c r="AT16" s="22"/>
      <c r="AU16" s="28"/>
      <c r="AV16" s="24"/>
      <c r="AW16" s="16"/>
    </row>
    <row r="17" spans="1:49">
      <c r="A17" s="15">
        <v>14</v>
      </c>
      <c r="B17" s="15">
        <v>1003532</v>
      </c>
      <c r="C17" s="15">
        <f t="shared" si="2"/>
        <v>1001</v>
      </c>
      <c r="D17" s="15">
        <f t="shared" si="3"/>
        <v>1531</v>
      </c>
      <c r="F17" s="15">
        <v>14</v>
      </c>
      <c r="G17" s="16">
        <v>4021.143</v>
      </c>
      <c r="H17" s="24">
        <f>TRUNC(SQRT(G17*10000))/100</f>
        <v>63.41</v>
      </c>
      <c r="I17" s="16">
        <f t="shared" si="4"/>
        <v>0.31490000000030705</v>
      </c>
      <c r="K17" s="15">
        <v>14</v>
      </c>
      <c r="L17" s="18">
        <v>169</v>
      </c>
      <c r="M17" s="18">
        <v>324</v>
      </c>
      <c r="N17" s="18" t="str">
        <f t="shared" si="5"/>
        <v>13*13*1</v>
      </c>
      <c r="O17" s="10">
        <f t="shared" si="6"/>
        <v>18</v>
      </c>
      <c r="P17" s="19">
        <v>0.72222222222222221</v>
      </c>
      <c r="Q17" s="18">
        <v>1</v>
      </c>
      <c r="R17" s="19"/>
      <c r="T17" s="15"/>
      <c r="U17" s="18"/>
      <c r="V17" s="18"/>
      <c r="W17" s="18"/>
      <c r="X17" s="18"/>
      <c r="Y17" s="18"/>
      <c r="Z17" s="18"/>
      <c r="AA17" s="19"/>
      <c r="AC17" s="15">
        <v>14</v>
      </c>
      <c r="AD17" s="18">
        <v>21</v>
      </c>
      <c r="AE17" s="18">
        <v>24</v>
      </c>
      <c r="AF17" s="20" t="str">
        <f t="shared" si="10"/>
        <v>7*3*1</v>
      </c>
      <c r="AG17" s="18" t="str">
        <f t="shared" si="11"/>
        <v>3*2*2*2*1</v>
      </c>
      <c r="AH17" s="19">
        <v>0.25</v>
      </c>
      <c r="AI17" s="18">
        <v>14</v>
      </c>
      <c r="AS17" s="15"/>
      <c r="AT17" s="16"/>
      <c r="AU17" s="16"/>
      <c r="AV17" s="24"/>
      <c r="AW17" s="16"/>
    </row>
    <row r="18" spans="1:49">
      <c r="A18" s="15">
        <v>15</v>
      </c>
      <c r="B18" s="15">
        <v>21487547</v>
      </c>
      <c r="C18" s="15">
        <f t="shared" si="2"/>
        <v>4635</v>
      </c>
      <c r="D18" s="15">
        <f t="shared" si="3"/>
        <v>4322</v>
      </c>
      <c r="F18" s="15">
        <v>15</v>
      </c>
      <c r="G18" s="28">
        <v>62.04251</v>
      </c>
      <c r="H18" s="22">
        <f>TRUNC(SQRT(G18*1000000))/1000</f>
        <v>7.8760000000000003</v>
      </c>
      <c r="I18" s="25">
        <f t="shared" si="4"/>
        <v>1.1133999999991318E-2</v>
      </c>
      <c r="K18" s="15">
        <v>15</v>
      </c>
      <c r="L18" s="18">
        <v>108</v>
      </c>
      <c r="M18" s="18">
        <v>361</v>
      </c>
      <c r="N18" s="18" t="str">
        <f t="shared" si="5"/>
        <v>3*3*3*2*2*1</v>
      </c>
      <c r="O18" s="10">
        <f t="shared" si="6"/>
        <v>19</v>
      </c>
      <c r="P18" s="19">
        <v>0.31578947368421051</v>
      </c>
      <c r="Q18" s="18">
        <v>3</v>
      </c>
      <c r="R18" s="19">
        <f t="shared" si="7"/>
        <v>0.52631578947368418</v>
      </c>
      <c r="T18" s="15"/>
      <c r="U18" s="18"/>
      <c r="V18" s="18"/>
      <c r="W18" s="18"/>
      <c r="X18" s="18"/>
      <c r="Y18" s="18"/>
      <c r="Z18" s="18"/>
      <c r="AA18" s="19"/>
      <c r="AC18" s="15">
        <v>15</v>
      </c>
      <c r="AD18" s="18">
        <v>7</v>
      </c>
      <c r="AE18" s="18">
        <v>70</v>
      </c>
      <c r="AF18" s="20" t="str">
        <f t="shared" si="10"/>
        <v>7*1</v>
      </c>
      <c r="AG18" s="18" t="str">
        <f t="shared" si="11"/>
        <v>7*5*2*1</v>
      </c>
      <c r="AH18" s="19">
        <v>0.1</v>
      </c>
      <c r="AI18" s="18">
        <v>10</v>
      </c>
      <c r="AS18" s="15"/>
      <c r="AT18" s="28"/>
      <c r="AU18" s="28"/>
      <c r="AV18" s="22"/>
      <c r="AW18" s="25"/>
    </row>
    <row r="19" spans="1:49">
      <c r="A19" s="15">
        <v>16</v>
      </c>
      <c r="B19" s="15">
        <v>111001210</v>
      </c>
      <c r="C19" s="15">
        <f t="shared" si="2"/>
        <v>10535</v>
      </c>
      <c r="D19" s="15">
        <f t="shared" si="3"/>
        <v>14985</v>
      </c>
      <c r="F19" s="15">
        <v>16</v>
      </c>
      <c r="G19" s="26">
        <v>11.9494069</v>
      </c>
      <c r="H19" s="16">
        <f t="shared" ref="H19:H20" si="14">TRUNC(SQRT(G19*100000000))/10000</f>
        <v>3.4567000000000001</v>
      </c>
      <c r="I19" s="27">
        <f t="shared" si="4"/>
        <v>6.3200999999857288E-4</v>
      </c>
      <c r="K19" s="15"/>
      <c r="L19" s="18"/>
      <c r="M19" s="18"/>
      <c r="N19" s="27"/>
      <c r="AC19" s="15">
        <v>16</v>
      </c>
      <c r="AD19" s="18">
        <v>5</v>
      </c>
      <c r="AE19" s="18">
        <v>21</v>
      </c>
      <c r="AF19" s="20" t="str">
        <f t="shared" si="10"/>
        <v>5*1</v>
      </c>
      <c r="AG19" s="18" t="str">
        <f t="shared" si="11"/>
        <v>7*3*1</v>
      </c>
      <c r="AH19" s="19">
        <v>4.7619047619047616E-2</v>
      </c>
      <c r="AI19" s="18">
        <v>105</v>
      </c>
      <c r="AS19" s="15"/>
      <c r="AT19" s="26"/>
      <c r="AU19" s="26"/>
      <c r="AV19" s="16"/>
      <c r="AW19" s="27"/>
    </row>
    <row r="20" spans="1:49">
      <c r="A20" s="15">
        <v>17</v>
      </c>
      <c r="B20" s="15">
        <v>2025150194</v>
      </c>
      <c r="C20" s="15">
        <f t="shared" si="2"/>
        <v>45001</v>
      </c>
      <c r="D20" s="15">
        <f t="shared" si="3"/>
        <v>60193</v>
      </c>
      <c r="F20" s="15">
        <v>17</v>
      </c>
      <c r="G20" s="26">
        <v>4100.1617796999999</v>
      </c>
      <c r="H20" s="16">
        <f t="shared" si="14"/>
        <v>64.032499999999999</v>
      </c>
      <c r="I20" s="27">
        <f t="shared" si="4"/>
        <v>7.2344999989581993E-4</v>
      </c>
      <c r="K20" s="15"/>
      <c r="L20" s="18"/>
      <c r="M20" s="18"/>
      <c r="N20" s="27"/>
      <c r="AC20" s="15">
        <v>17</v>
      </c>
      <c r="AD20" s="18">
        <v>25</v>
      </c>
      <c r="AE20" s="18">
        <v>12</v>
      </c>
      <c r="AF20" s="20" t="str">
        <f t="shared" si="10"/>
        <v>5*5*1</v>
      </c>
      <c r="AG20" s="18" t="str">
        <f t="shared" si="11"/>
        <v>3*2*2*1</v>
      </c>
      <c r="AH20" s="19">
        <v>0.83333333333333337</v>
      </c>
      <c r="AI20" s="18">
        <v>3</v>
      </c>
      <c r="AS20" s="15"/>
      <c r="AT20" s="26"/>
      <c r="AU20" s="26"/>
      <c r="AV20" s="16"/>
      <c r="AW20" s="27"/>
    </row>
    <row r="21" spans="1:49">
      <c r="A21" s="15">
        <v>18</v>
      </c>
      <c r="B21" s="15">
        <v>552323657856</v>
      </c>
      <c r="C21" s="15">
        <f t="shared" si="2"/>
        <v>743184</v>
      </c>
      <c r="D21" s="15">
        <f t="shared" si="3"/>
        <v>1200000</v>
      </c>
      <c r="F21" s="15">
        <v>18</v>
      </c>
      <c r="G21" s="16">
        <v>9663.4945399999997</v>
      </c>
      <c r="H21" s="22">
        <f>TRUNC(SQRT(G21*1000000))/1000</f>
        <v>98.302999999999997</v>
      </c>
      <c r="I21" s="25">
        <f t="shared" si="4"/>
        <v>1.4731000001120265E-2</v>
      </c>
      <c r="K21" s="15"/>
      <c r="L21" s="18"/>
      <c r="M21" s="18"/>
      <c r="N21" s="25"/>
      <c r="AC21" s="15">
        <v>18</v>
      </c>
      <c r="AD21" s="18">
        <v>10</v>
      </c>
      <c r="AE21" s="18">
        <v>98</v>
      </c>
      <c r="AF21" s="20" t="str">
        <f t="shared" si="10"/>
        <v>5*2*1</v>
      </c>
      <c r="AG21" s="18" t="str">
        <f t="shared" si="11"/>
        <v>7*7*2*1</v>
      </c>
      <c r="AH21" s="19">
        <v>0.14285714285714285</v>
      </c>
      <c r="AI21" s="18">
        <v>5</v>
      </c>
      <c r="AS21" s="15"/>
      <c r="AT21" s="16"/>
      <c r="AU21" s="16"/>
      <c r="AV21" s="22"/>
      <c r="AW21" s="25"/>
    </row>
    <row r="22" spans="1:49">
      <c r="AC22" s="15">
        <v>19</v>
      </c>
      <c r="AD22" s="18">
        <v>11</v>
      </c>
      <c r="AE22" s="18">
        <v>48</v>
      </c>
      <c r="AF22" s="20" t="str">
        <f t="shared" si="10"/>
        <v>11*1</v>
      </c>
      <c r="AG22" s="18" t="str">
        <f t="shared" si="11"/>
        <v>3*2*2*2*2*1</v>
      </c>
      <c r="AH22" s="19">
        <v>8.3333333333333329E-2</v>
      </c>
      <c r="AI22" s="18">
        <v>33</v>
      </c>
    </row>
    <row r="23" spans="1:49">
      <c r="AC23" s="15">
        <v>20</v>
      </c>
      <c r="AD23" s="18">
        <v>49</v>
      </c>
      <c r="AE23" s="18">
        <v>44</v>
      </c>
      <c r="AF23" s="20" t="str">
        <f t="shared" si="10"/>
        <v>7*7*1</v>
      </c>
      <c r="AG23" s="18" t="str">
        <f t="shared" si="11"/>
        <v>11*2*2*1</v>
      </c>
      <c r="AH23" s="19">
        <v>0.31818181818181818</v>
      </c>
      <c r="AI23" s="18">
        <v>11</v>
      </c>
    </row>
    <row r="24" spans="1:49">
      <c r="AC24" s="15">
        <v>21</v>
      </c>
      <c r="AD24" s="18">
        <v>7</v>
      </c>
      <c r="AE24" s="18">
        <v>26</v>
      </c>
      <c r="AF24" s="20" t="str">
        <f t="shared" si="10"/>
        <v>7*1</v>
      </c>
      <c r="AG24" s="18" t="str">
        <f t="shared" si="11"/>
        <v>13*2*1</v>
      </c>
      <c r="AH24" s="19">
        <v>3.8461538461538464E-2</v>
      </c>
      <c r="AI24" s="18">
        <v>182</v>
      </c>
      <c r="AN24" s="10">
        <f>GCD(3321216000,2859192)</f>
        <v>6696</v>
      </c>
    </row>
    <row r="25" spans="1:49">
      <c r="AC25" s="15">
        <v>22</v>
      </c>
      <c r="AD25" s="18">
        <v>21</v>
      </c>
      <c r="AE25" s="18">
        <v>40</v>
      </c>
      <c r="AF25" s="20" t="str">
        <f t="shared" si="10"/>
        <v>7*3*1</v>
      </c>
      <c r="AG25" s="18" t="str">
        <f t="shared" si="11"/>
        <v>5*2*2*2*1</v>
      </c>
      <c r="AH25" s="19">
        <v>0.05</v>
      </c>
      <c r="AI25" s="18">
        <v>210</v>
      </c>
    </row>
    <row r="26" spans="1:49">
      <c r="AC26" s="15">
        <v>23</v>
      </c>
      <c r="AD26" s="18">
        <v>7</v>
      </c>
      <c r="AE26" s="18">
        <v>48</v>
      </c>
      <c r="AF26" s="20" t="str">
        <f t="shared" si="10"/>
        <v>7*1</v>
      </c>
      <c r="AG26" s="18" t="str">
        <f t="shared" si="11"/>
        <v>3*2*2*2*2*1</v>
      </c>
      <c r="AH26" s="19">
        <v>8.3333333333333329E-2</v>
      </c>
      <c r="AI26" s="18">
        <v>21</v>
      </c>
    </row>
    <row r="27" spans="1:49">
      <c r="AC27" s="15">
        <v>24</v>
      </c>
      <c r="AD27" s="18">
        <v>5</v>
      </c>
      <c r="AE27" s="18">
        <v>96</v>
      </c>
      <c r="AF27" s="20" t="str">
        <f t="shared" si="10"/>
        <v>5*1</v>
      </c>
      <c r="AG27" s="18" t="str">
        <f t="shared" si="11"/>
        <v>3*2*2*2*2*2*1</v>
      </c>
      <c r="AH27" s="19">
        <v>4.1666666666666664E-2</v>
      </c>
      <c r="AI27" s="18">
        <v>30</v>
      </c>
    </row>
    <row r="28" spans="1:49">
      <c r="AC28" s="15">
        <v>25</v>
      </c>
      <c r="AD28" s="18">
        <v>8</v>
      </c>
      <c r="AE28" s="18">
        <v>99</v>
      </c>
      <c r="AF28" s="20" t="str">
        <f t="shared" si="10"/>
        <v>2*2*2*1</v>
      </c>
      <c r="AG28" s="18" t="str">
        <f t="shared" si="11"/>
        <v>11*3*3*1</v>
      </c>
      <c r="AH28" s="19">
        <v>6.0606060606060608E-2</v>
      </c>
      <c r="AI28" s="18">
        <v>22</v>
      </c>
    </row>
    <row r="29" spans="1:49">
      <c r="AC29" s="15">
        <v>26</v>
      </c>
      <c r="AD29" s="18">
        <v>21</v>
      </c>
      <c r="AE29" s="18">
        <v>90</v>
      </c>
      <c r="AF29" s="20" t="str">
        <f t="shared" si="10"/>
        <v>7*3*1</v>
      </c>
      <c r="AG29" s="18" t="str">
        <f t="shared" si="11"/>
        <v>5*3*3*2*1</v>
      </c>
      <c r="AH29" s="19">
        <v>3.3333333333333333E-2</v>
      </c>
      <c r="AI29" s="18">
        <v>210</v>
      </c>
    </row>
    <row r="30" spans="1:49">
      <c r="AC30" s="15">
        <v>27</v>
      </c>
      <c r="AD30" s="18">
        <v>11</v>
      </c>
      <c r="AE30" s="18">
        <v>135</v>
      </c>
      <c r="AF30" s="20" t="str">
        <f t="shared" si="10"/>
        <v>11*1</v>
      </c>
      <c r="AG30" s="18" t="str">
        <f t="shared" si="11"/>
        <v>5*3*3*3*1</v>
      </c>
      <c r="AH30" s="19">
        <v>2.2222222222222223E-2</v>
      </c>
      <c r="AI30" s="18">
        <v>165</v>
      </c>
    </row>
    <row r="31" spans="1:49">
      <c r="AC31" s="15">
        <v>28</v>
      </c>
      <c r="AD31" s="18">
        <v>11</v>
      </c>
      <c r="AE31" s="18">
        <v>450</v>
      </c>
      <c r="AF31" s="20" t="str">
        <f t="shared" si="10"/>
        <v>11*1</v>
      </c>
      <c r="AG31" s="18" t="str">
        <f t="shared" si="11"/>
        <v>5*5*3*3*2*1</v>
      </c>
      <c r="AH31" s="19">
        <v>3.3333333333333333E-2</v>
      </c>
      <c r="AI31" s="18">
        <v>22</v>
      </c>
    </row>
    <row r="32" spans="1:49">
      <c r="AC32" s="15">
        <v>29</v>
      </c>
      <c r="AD32" s="10">
        <v>5</v>
      </c>
      <c r="AE32" s="18">
        <v>84</v>
      </c>
      <c r="AF32" s="20" t="str">
        <f t="shared" si="10"/>
        <v>5*1</v>
      </c>
      <c r="AG32" s="18" t="str">
        <f t="shared" si="11"/>
        <v>7*3*2*2*1</v>
      </c>
      <c r="AH32" s="19">
        <v>2.3809523809523808E-2</v>
      </c>
      <c r="AI32" s="18">
        <v>105</v>
      </c>
    </row>
    <row r="33" spans="29:35">
      <c r="AC33" s="15">
        <v>30</v>
      </c>
      <c r="AD33" s="18">
        <v>7</v>
      </c>
      <c r="AE33" s="18">
        <v>600</v>
      </c>
      <c r="AF33" s="20" t="str">
        <f t="shared" si="10"/>
        <v>7*1</v>
      </c>
      <c r="AG33" s="18" t="str">
        <f t="shared" si="11"/>
        <v>5*5*3*2*2*2*1</v>
      </c>
      <c r="AH33" s="19">
        <v>1.6666666666666666E-2</v>
      </c>
      <c r="AI33" s="18">
        <v>42</v>
      </c>
    </row>
    <row r="34" spans="29:35">
      <c r="AC34" s="15">
        <v>31</v>
      </c>
      <c r="AD34" s="18">
        <v>7</v>
      </c>
      <c r="AE34" s="18">
        <v>540</v>
      </c>
      <c r="AF34" s="20" t="str">
        <f t="shared" si="10"/>
        <v>7*1</v>
      </c>
      <c r="AG34" s="18" t="str">
        <f t="shared" si="11"/>
        <v>5*3*3*3*2*2*1</v>
      </c>
      <c r="AH34" s="19">
        <v>1.1111111111111112E-2</v>
      </c>
      <c r="AI34" s="18">
        <v>105</v>
      </c>
    </row>
    <row r="35" spans="29:35">
      <c r="AC35" s="15">
        <v>32</v>
      </c>
      <c r="AD35" s="18">
        <v>9</v>
      </c>
      <c r="AE35" s="18">
        <v>700</v>
      </c>
      <c r="AF35" s="20" t="str">
        <f t="shared" si="10"/>
        <v>3*3*1</v>
      </c>
      <c r="AG35" s="18" t="str">
        <f t="shared" si="11"/>
        <v>7*5*5*2*2*1</v>
      </c>
      <c r="AH35" s="19">
        <v>4.2857142857142858E-2</v>
      </c>
      <c r="AI35" s="18">
        <v>7</v>
      </c>
    </row>
    <row r="36" spans="29:35">
      <c r="AC36" s="15">
        <v>33</v>
      </c>
      <c r="AD36" s="18">
        <v>11</v>
      </c>
      <c r="AE36" s="18">
        <v>1200</v>
      </c>
      <c r="AF36" s="20" t="str">
        <f t="shared" si="10"/>
        <v>11*1</v>
      </c>
      <c r="AG36" s="18" t="str">
        <f t="shared" si="11"/>
        <v>5*5*3*2*2*2*2*1</v>
      </c>
      <c r="AH36" s="19">
        <v>1.6666666666666666E-2</v>
      </c>
      <c r="AI36" s="18">
        <v>33</v>
      </c>
    </row>
    <row r="37" spans="29:35">
      <c r="AC37" s="15">
        <v>34</v>
      </c>
      <c r="AD37" s="18">
        <v>77</v>
      </c>
      <c r="AE37" s="18">
        <v>1500</v>
      </c>
      <c r="AF37" s="20" t="str">
        <f t="shared" si="10"/>
        <v>11*7*1</v>
      </c>
      <c r="AG37" s="18" t="str">
        <f t="shared" si="11"/>
        <v>5*5*5*3*2*2*1</v>
      </c>
      <c r="AH37" s="20" t="s">
        <v>772</v>
      </c>
      <c r="AI37" s="18">
        <v>1155</v>
      </c>
    </row>
    <row r="38" spans="29:35">
      <c r="AC38" s="15">
        <v>35</v>
      </c>
      <c r="AD38" s="18">
        <v>9</v>
      </c>
      <c r="AE38" s="18">
        <v>2000</v>
      </c>
      <c r="AF38" s="20" t="str">
        <f t="shared" si="10"/>
        <v>3*3*1</v>
      </c>
      <c r="AG38" s="18" t="str">
        <f t="shared" si="11"/>
        <v>5*5*5*2*2*2*2*1</v>
      </c>
      <c r="AH38" s="20" t="s">
        <v>773</v>
      </c>
      <c r="AI38" s="18">
        <v>5</v>
      </c>
    </row>
    <row r="39" spans="29:35">
      <c r="AC39" s="15">
        <v>36</v>
      </c>
      <c r="AD39" s="18">
        <v>13</v>
      </c>
      <c r="AE39" s="18">
        <v>3250</v>
      </c>
      <c r="AF39" s="20" t="str">
        <f t="shared" si="10"/>
        <v>13*1</v>
      </c>
      <c r="AG39" s="18" t="str">
        <f t="shared" si="11"/>
        <v>13*5*5*5*2*1</v>
      </c>
      <c r="AH39" s="19">
        <v>0.02</v>
      </c>
      <c r="AI39" s="18">
        <v>10</v>
      </c>
    </row>
    <row r="40" spans="29:35">
      <c r="AC40" s="15"/>
    </row>
    <row r="41" spans="29:35">
      <c r="AC41" s="15"/>
    </row>
    <row r="42" spans="29:35">
      <c r="AC42" s="15"/>
    </row>
    <row r="43" spans="29:35">
      <c r="AC43" s="15"/>
    </row>
    <row r="44" spans="29:35">
      <c r="AC44" s="15"/>
    </row>
    <row r="45" spans="29:35">
      <c r="AC45" s="15"/>
    </row>
    <row r="46" spans="29:35">
      <c r="AC46" s="15"/>
    </row>
    <row r="47" spans="29:35">
      <c r="AC47" s="15"/>
    </row>
    <row r="48" spans="29:35">
      <c r="AC48" s="15"/>
    </row>
    <row r="49" spans="29:29">
      <c r="AC49" s="15"/>
    </row>
  </sheetData>
  <mergeCells count="7">
    <mergeCell ref="AS2:AW2"/>
    <mergeCell ref="AK2:AP2"/>
    <mergeCell ref="AC2:AH2"/>
    <mergeCell ref="A2:D2"/>
    <mergeCell ref="F2:I2"/>
    <mergeCell ref="K2:R2"/>
    <mergeCell ref="T2:AA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Q38"/>
  <sheetViews>
    <sheetView topLeftCell="X1" zoomScale="102" zoomScaleNormal="102" zoomScalePageLayoutView="108" workbookViewId="0">
      <selection activeCell="X1" sqref="X1"/>
    </sheetView>
  </sheetViews>
  <sheetFormatPr baseColWidth="10" defaultColWidth="11.5" defaultRowHeight="16"/>
  <cols>
    <col min="1" max="1" width="11.5" style="1"/>
    <col min="2" max="2" width="33.33203125" style="1" bestFit="1" customWidth="1"/>
    <col min="3" max="5" width="11.5" style="1"/>
    <col min="6" max="6" width="38.33203125" style="1" customWidth="1"/>
    <col min="7" max="9" width="11.5" style="1"/>
    <col min="10" max="10" width="37.33203125" style="1" customWidth="1"/>
    <col min="11" max="11" width="15.5" style="1" customWidth="1"/>
    <col min="12" max="13" width="11.5" style="1"/>
    <col min="14" max="14" width="39.5" style="1" customWidth="1"/>
    <col min="15" max="17" width="11.5" style="1"/>
    <col min="18" max="18" width="25.1640625" style="1" customWidth="1"/>
    <col min="19" max="19" width="16" style="1" bestFit="1" customWidth="1"/>
    <col min="20" max="21" width="11.5" style="1"/>
    <col min="22" max="22" width="26.83203125" style="1" customWidth="1"/>
    <col min="23" max="25" width="11.5" style="1"/>
    <col min="26" max="26" width="31.5" style="1" customWidth="1"/>
    <col min="27" max="27" width="13.1640625" style="1" bestFit="1" customWidth="1"/>
    <col min="28" max="29" width="11.5" style="1"/>
    <col min="30" max="30" width="27" style="1" customWidth="1"/>
    <col min="31" max="33" width="11.5" style="1"/>
    <col min="34" max="34" width="29.5" style="1" customWidth="1"/>
    <col min="35" max="37" width="11.5" style="1"/>
    <col min="38" max="38" width="25.1640625" style="1" customWidth="1"/>
    <col min="39" max="41" width="11.5" style="1"/>
    <col min="42" max="42" width="30.33203125" style="1" customWidth="1"/>
    <col min="43" max="45" width="11.5" style="1"/>
    <col min="46" max="46" width="37.5" style="1" customWidth="1"/>
    <col min="47" max="47" width="14.5" style="1" customWidth="1"/>
    <col min="48" max="49" width="11.5" style="1"/>
    <col min="50" max="50" width="37.1640625" style="1" customWidth="1"/>
    <col min="51" max="51" width="14.6640625" style="1" bestFit="1" customWidth="1"/>
    <col min="52" max="53" width="11.5" style="1"/>
    <col min="54" max="54" width="26.83203125" style="1" customWidth="1"/>
    <col min="55" max="57" width="11.5" style="1"/>
    <col min="58" max="58" width="39.83203125" style="1" customWidth="1"/>
    <col min="59" max="59" width="14.33203125" style="1" bestFit="1" customWidth="1"/>
    <col min="60" max="61" width="11.5" style="1"/>
    <col min="62" max="62" width="31.83203125" style="1" customWidth="1"/>
    <col min="63" max="65" width="11.5" style="1"/>
    <col min="66" max="66" width="32.6640625" style="1" customWidth="1"/>
    <col min="67" max="67" width="14.33203125" style="1" bestFit="1" customWidth="1"/>
    <col min="68" max="69" width="11.5" style="1"/>
    <col min="70" max="70" width="25.33203125" style="1" customWidth="1"/>
    <col min="71" max="72" width="11.5" style="1"/>
    <col min="73" max="73" width="9.6640625" style="1" customWidth="1"/>
    <col min="74" max="74" width="9.1640625" style="1" customWidth="1"/>
    <col min="75" max="75" width="8.83203125" style="1" customWidth="1"/>
    <col min="76" max="76" width="9.1640625" style="1" customWidth="1"/>
    <col min="77" max="77" width="8.5" style="1" customWidth="1"/>
    <col min="78" max="78" width="9" style="1" customWidth="1"/>
    <col min="79" max="79" width="14.1640625" style="1" customWidth="1"/>
    <col min="80" max="81" width="11.5" style="1"/>
    <col min="82" max="82" width="24.6640625" style="1" customWidth="1"/>
    <col min="83" max="83" width="12.5" style="1" customWidth="1"/>
    <col min="84" max="85" width="11.5" style="1"/>
    <col min="86" max="86" width="21.5" style="1" customWidth="1"/>
    <col min="87" max="87" width="13.1640625" style="1" bestFit="1" customWidth="1"/>
    <col min="88" max="89" width="11.5" style="1"/>
    <col min="90" max="90" width="21.6640625" style="1" customWidth="1"/>
    <col min="91" max="91" width="13.1640625" style="1" bestFit="1" customWidth="1"/>
    <col min="92" max="93" width="11.5" style="1"/>
    <col min="94" max="94" width="35.5" style="1" customWidth="1"/>
    <col min="95" max="95" width="13.1640625" style="2" bestFit="1" customWidth="1"/>
    <col min="96" max="16384" width="11.5" style="1"/>
  </cols>
  <sheetData>
    <row r="1" spans="1:95" ht="100" customHeight="1"/>
    <row r="2" spans="1:95">
      <c r="A2" s="3" t="s">
        <v>779</v>
      </c>
      <c r="B2" s="3"/>
      <c r="C2" s="3"/>
      <c r="E2" s="3" t="s">
        <v>780</v>
      </c>
      <c r="F2" s="3"/>
      <c r="G2" s="3"/>
      <c r="I2" s="3" t="s">
        <v>781</v>
      </c>
      <c r="J2" s="3"/>
      <c r="K2" s="3"/>
      <c r="M2" s="3" t="s">
        <v>782</v>
      </c>
      <c r="N2" s="3"/>
      <c r="O2" s="3"/>
      <c r="Q2" s="3" t="s">
        <v>783</v>
      </c>
      <c r="R2" s="3"/>
      <c r="S2" s="3"/>
      <c r="U2" s="3" t="s">
        <v>784</v>
      </c>
      <c r="V2" s="3"/>
      <c r="W2" s="3"/>
      <c r="Y2" s="3" t="s">
        <v>785</v>
      </c>
      <c r="Z2" s="3"/>
      <c r="AA2" s="3"/>
      <c r="AC2" s="3" t="s">
        <v>786</v>
      </c>
      <c r="AD2" s="3"/>
      <c r="AE2" s="3"/>
      <c r="AG2" s="3" t="s">
        <v>787</v>
      </c>
      <c r="AH2" s="3"/>
      <c r="AI2" s="3"/>
      <c r="AK2" s="3" t="s">
        <v>277</v>
      </c>
      <c r="AL2" s="3"/>
      <c r="AM2" s="3"/>
      <c r="AO2" s="3" t="s">
        <v>788</v>
      </c>
      <c r="AP2" s="3"/>
      <c r="AQ2" s="3"/>
      <c r="AS2" s="3" t="s">
        <v>789</v>
      </c>
      <c r="AT2" s="3"/>
      <c r="AU2" s="3"/>
      <c r="AW2" s="3" t="s">
        <v>790</v>
      </c>
      <c r="AX2" s="3"/>
      <c r="AY2" s="3"/>
      <c r="BA2" s="3" t="s">
        <v>791</v>
      </c>
      <c r="BB2" s="3"/>
      <c r="BC2" s="3"/>
      <c r="BE2" s="3" t="s">
        <v>792</v>
      </c>
      <c r="BF2" s="3"/>
      <c r="BG2" s="3"/>
      <c r="BI2" s="3" t="s">
        <v>793</v>
      </c>
      <c r="BJ2" s="3"/>
      <c r="BK2" s="3"/>
      <c r="BM2" s="3" t="s">
        <v>794</v>
      </c>
      <c r="BN2" s="3"/>
      <c r="BO2" s="3"/>
      <c r="BQ2" s="3" t="s">
        <v>795</v>
      </c>
      <c r="BR2" s="3"/>
      <c r="BS2" s="3"/>
      <c r="BT2" s="4"/>
      <c r="BU2" s="3" t="s">
        <v>796</v>
      </c>
      <c r="BV2" s="3"/>
      <c r="BW2" s="3"/>
      <c r="BX2" s="3"/>
      <c r="BY2" s="3"/>
      <c r="BZ2" s="3"/>
      <c r="CA2" s="3"/>
      <c r="CB2" s="5"/>
      <c r="CC2" s="3" t="s">
        <v>797</v>
      </c>
      <c r="CD2" s="3"/>
      <c r="CE2" s="3"/>
      <c r="CG2" s="3" t="s">
        <v>798</v>
      </c>
      <c r="CH2" s="3"/>
      <c r="CI2" s="3"/>
      <c r="CK2" s="3" t="s">
        <v>799</v>
      </c>
      <c r="CL2" s="3"/>
      <c r="CM2" s="3"/>
      <c r="CO2" s="3" t="s">
        <v>800</v>
      </c>
      <c r="CP2" s="3"/>
      <c r="CQ2" s="3"/>
    </row>
    <row r="3" spans="1:95">
      <c r="A3" s="1" t="s">
        <v>801</v>
      </c>
      <c r="B3" s="1" t="s">
        <v>802</v>
      </c>
      <c r="C3" s="1" t="s">
        <v>803</v>
      </c>
      <c r="E3" s="1" t="s">
        <v>4</v>
      </c>
      <c r="F3" s="1" t="s">
        <v>802</v>
      </c>
      <c r="G3" s="1" t="s">
        <v>803</v>
      </c>
      <c r="I3" s="1" t="s">
        <v>4</v>
      </c>
      <c r="J3" s="1" t="s">
        <v>804</v>
      </c>
      <c r="K3" s="1" t="s">
        <v>805</v>
      </c>
      <c r="M3" s="1" t="s">
        <v>4</v>
      </c>
      <c r="N3" s="1" t="s">
        <v>804</v>
      </c>
      <c r="O3" s="1" t="s">
        <v>805</v>
      </c>
      <c r="Q3" s="1" t="s">
        <v>4</v>
      </c>
      <c r="R3" s="1" t="s">
        <v>802</v>
      </c>
      <c r="S3" s="1" t="s">
        <v>805</v>
      </c>
      <c r="U3" s="1" t="s">
        <v>4</v>
      </c>
      <c r="V3" s="1" t="s">
        <v>804</v>
      </c>
      <c r="W3" s="1" t="s">
        <v>805</v>
      </c>
      <c r="Y3" s="1" t="s">
        <v>4</v>
      </c>
      <c r="Z3" s="1" t="s">
        <v>804</v>
      </c>
      <c r="AA3" s="1" t="s">
        <v>805</v>
      </c>
      <c r="AC3" s="1" t="s">
        <v>801</v>
      </c>
      <c r="AD3" s="1" t="s">
        <v>802</v>
      </c>
      <c r="AE3" s="1" t="s">
        <v>805</v>
      </c>
      <c r="AG3" s="1" t="s">
        <v>4</v>
      </c>
      <c r="AH3" s="1" t="s">
        <v>804</v>
      </c>
      <c r="AI3" s="1" t="s">
        <v>805</v>
      </c>
      <c r="AK3" s="1" t="s">
        <v>4</v>
      </c>
      <c r="AL3" s="1" t="s">
        <v>802</v>
      </c>
      <c r="AM3" s="1" t="s">
        <v>805</v>
      </c>
      <c r="AO3" s="1" t="s">
        <v>4</v>
      </c>
      <c r="AP3" s="1" t="s">
        <v>804</v>
      </c>
      <c r="AQ3" s="1" t="s">
        <v>805</v>
      </c>
      <c r="AS3" s="1" t="s">
        <v>4</v>
      </c>
      <c r="AT3" s="1" t="s">
        <v>806</v>
      </c>
      <c r="AU3" s="1" t="s">
        <v>805</v>
      </c>
      <c r="AW3" s="1" t="s">
        <v>4</v>
      </c>
      <c r="AX3" s="1" t="s">
        <v>804</v>
      </c>
      <c r="AY3" s="1" t="s">
        <v>805</v>
      </c>
      <c r="BA3" s="1" t="s">
        <v>4</v>
      </c>
      <c r="BB3" s="1" t="s">
        <v>804</v>
      </c>
      <c r="BC3" s="1" t="s">
        <v>805</v>
      </c>
      <c r="BE3" s="1" t="s">
        <v>4</v>
      </c>
      <c r="BF3" s="1" t="s">
        <v>804</v>
      </c>
      <c r="BG3" s="1" t="s">
        <v>805</v>
      </c>
      <c r="BI3" s="1" t="s">
        <v>4</v>
      </c>
      <c r="BJ3" s="1" t="s">
        <v>804</v>
      </c>
      <c r="BK3" s="1" t="s">
        <v>805</v>
      </c>
      <c r="BM3" s="1" t="s">
        <v>4</v>
      </c>
      <c r="BN3" s="1" t="s">
        <v>804</v>
      </c>
      <c r="BO3" s="1" t="s">
        <v>805</v>
      </c>
      <c r="BQ3" s="1" t="s">
        <v>4</v>
      </c>
      <c r="BR3" s="1" t="s">
        <v>804</v>
      </c>
      <c r="BS3" s="1" t="s">
        <v>805</v>
      </c>
      <c r="BU3" s="1" t="s">
        <v>4</v>
      </c>
      <c r="BV3" s="1" t="s">
        <v>202</v>
      </c>
      <c r="BW3" s="1" t="s">
        <v>201</v>
      </c>
      <c r="BX3" s="1" t="s">
        <v>807</v>
      </c>
      <c r="BY3" s="1" t="s">
        <v>808</v>
      </c>
      <c r="BZ3" s="1" t="s">
        <v>45</v>
      </c>
      <c r="CA3" s="1" t="s">
        <v>196</v>
      </c>
      <c r="CC3" s="1" t="s">
        <v>4</v>
      </c>
      <c r="CD3" s="1" t="s">
        <v>802</v>
      </c>
      <c r="CE3" s="1" t="s">
        <v>805</v>
      </c>
      <c r="CG3" s="1" t="s">
        <v>4</v>
      </c>
      <c r="CH3" s="1" t="s">
        <v>804</v>
      </c>
      <c r="CI3" s="1" t="s">
        <v>805</v>
      </c>
      <c r="CK3" s="1" t="s">
        <v>4</v>
      </c>
      <c r="CL3" s="1" t="s">
        <v>804</v>
      </c>
      <c r="CM3" s="1" t="s">
        <v>805</v>
      </c>
      <c r="CO3" s="1" t="s">
        <v>4</v>
      </c>
      <c r="CP3" s="1" t="s">
        <v>804</v>
      </c>
      <c r="CQ3" s="2" t="s">
        <v>805</v>
      </c>
    </row>
    <row r="4" spans="1:95">
      <c r="A4" s="1">
        <v>1</v>
      </c>
      <c r="B4" s="1" t="s">
        <v>809</v>
      </c>
      <c r="C4" s="2">
        <f>1/3+2/3</f>
        <v>1</v>
      </c>
      <c r="E4" s="1">
        <v>1</v>
      </c>
      <c r="F4" s="1" t="s">
        <v>810</v>
      </c>
      <c r="G4" s="2">
        <f>2/3+5/6</f>
        <v>1.5</v>
      </c>
      <c r="I4" s="1">
        <v>1</v>
      </c>
      <c r="J4" s="1" t="s">
        <v>811</v>
      </c>
      <c r="K4" s="2">
        <f>3.25 + 5.75</f>
        <v>9</v>
      </c>
      <c r="M4" s="1">
        <v>1</v>
      </c>
      <c r="N4" s="1" t="s">
        <v>812</v>
      </c>
      <c r="O4" s="2">
        <f>7 +8/7</f>
        <v>8.1428571428571423</v>
      </c>
      <c r="Q4" s="1">
        <v>1</v>
      </c>
      <c r="R4" s="1" t="s">
        <v>813</v>
      </c>
      <c r="S4" s="2">
        <f>4/5-1/5</f>
        <v>0.60000000000000009</v>
      </c>
      <c r="U4" s="1">
        <v>1</v>
      </c>
      <c r="V4" s="1" t="s">
        <v>814</v>
      </c>
      <c r="W4" s="2">
        <f>1/2-1/6</f>
        <v>0.33333333333333337</v>
      </c>
      <c r="Y4" s="1">
        <v>1</v>
      </c>
      <c r="Z4" s="6" t="s">
        <v>815</v>
      </c>
      <c r="AA4" s="2">
        <f>8-2/3</f>
        <v>7.333333333333333</v>
      </c>
      <c r="AC4" s="1">
        <v>1</v>
      </c>
      <c r="AD4" s="1" t="s">
        <v>816</v>
      </c>
      <c r="AE4" s="2">
        <f>6.83333333333333-3.16666666666667</f>
        <v>3.6666666666666603</v>
      </c>
      <c r="AG4" s="1">
        <v>1</v>
      </c>
      <c r="AH4" s="6" t="s">
        <v>817</v>
      </c>
      <c r="AI4" s="2">
        <f>9-4.5</f>
        <v>4.5</v>
      </c>
      <c r="AK4" s="1">
        <v>1</v>
      </c>
      <c r="AL4" s="1" t="s">
        <v>818</v>
      </c>
      <c r="AM4" s="2">
        <f>16.6-6</f>
        <v>10.600000000000001</v>
      </c>
      <c r="AO4" s="1">
        <v>1</v>
      </c>
      <c r="AP4" s="1" t="s">
        <v>819</v>
      </c>
      <c r="AQ4" s="2">
        <f>2/3+5/6-1/12</f>
        <v>1.4166666666666667</v>
      </c>
      <c r="AS4" s="1">
        <v>1</v>
      </c>
      <c r="AT4" s="1" t="s">
        <v>820</v>
      </c>
      <c r="AU4" s="2">
        <f>3+3/5-1/8</f>
        <v>3.4750000000000001</v>
      </c>
      <c r="AW4" s="1">
        <v>1</v>
      </c>
      <c r="AX4" s="1" t="s">
        <v>821</v>
      </c>
      <c r="AY4" s="2">
        <f>3/8-(1/6+1/12)</f>
        <v>0.125</v>
      </c>
      <c r="BA4" s="1">
        <v>1</v>
      </c>
      <c r="BB4" s="1" t="s">
        <v>822</v>
      </c>
      <c r="BC4" s="2">
        <f>2/3*3/2</f>
        <v>1</v>
      </c>
      <c r="BE4" s="1">
        <v>1</v>
      </c>
      <c r="BF4" s="1" t="s">
        <v>823</v>
      </c>
      <c r="BG4" s="2">
        <f>1.5*1.66666666666667</f>
        <v>2.5000000000000053</v>
      </c>
      <c r="BI4" s="1">
        <v>1</v>
      </c>
      <c r="BJ4" s="1" t="s">
        <v>824</v>
      </c>
      <c r="BK4" s="2">
        <f>3*1/3*3/5</f>
        <v>0.6</v>
      </c>
      <c r="BM4" s="1">
        <v>1</v>
      </c>
      <c r="BN4" s="1" t="s">
        <v>825</v>
      </c>
      <c r="BO4" s="2">
        <f>(3/5*1/3)*5.0625</f>
        <v>1.0125</v>
      </c>
      <c r="BQ4" s="1">
        <v>1</v>
      </c>
      <c r="BR4" s="1" t="s">
        <v>826</v>
      </c>
      <c r="BS4" s="2">
        <f>2/3*12</f>
        <v>8</v>
      </c>
      <c r="BT4" s="2"/>
      <c r="BU4" s="7">
        <v>1</v>
      </c>
      <c r="BV4" s="8">
        <v>0.66666666666666663</v>
      </c>
      <c r="BW4" s="8">
        <v>0.5</v>
      </c>
      <c r="BX4" s="7">
        <v>1</v>
      </c>
      <c r="BY4" s="7">
        <v>1</v>
      </c>
      <c r="BZ4" s="7">
        <v>12</v>
      </c>
      <c r="CA4" s="7">
        <f>PRODUCT(BV4:BZ4)</f>
        <v>4</v>
      </c>
      <c r="CC4" s="1">
        <v>1</v>
      </c>
      <c r="CD4" s="1" t="s">
        <v>827</v>
      </c>
      <c r="CE4" s="2">
        <f>(3/5)/(7/10)</f>
        <v>0.85714285714285721</v>
      </c>
      <c r="CG4" s="1">
        <v>1</v>
      </c>
      <c r="CH4" s="1" t="s">
        <v>828</v>
      </c>
      <c r="CI4" s="2">
        <f>8/(1/2)</f>
        <v>16</v>
      </c>
      <c r="CK4" s="1">
        <v>1</v>
      </c>
      <c r="CL4" s="1" t="s">
        <v>829</v>
      </c>
      <c r="CM4" s="2">
        <f>(1.5)/(2.33333333333333)</f>
        <v>0.64285714285714379</v>
      </c>
      <c r="CO4" s="1">
        <v>1</v>
      </c>
      <c r="CP4" s="1" t="s">
        <v>830</v>
      </c>
      <c r="CQ4" s="2">
        <f>((1/2)/(3/4))/(3/2)</f>
        <v>0.44444444444444442</v>
      </c>
    </row>
    <row r="5" spans="1:95">
      <c r="A5" s="1">
        <v>2</v>
      </c>
      <c r="B5" s="1" t="s">
        <v>831</v>
      </c>
      <c r="C5" s="2">
        <f>2/5+3/5+4/5</f>
        <v>1.8</v>
      </c>
      <c r="E5" s="1">
        <v>2</v>
      </c>
      <c r="F5" s="1" t="s">
        <v>832</v>
      </c>
      <c r="G5" s="2">
        <f>5/12+7/24</f>
        <v>0.70833333333333337</v>
      </c>
      <c r="I5" s="1">
        <v>2</v>
      </c>
      <c r="J5" s="1" t="s">
        <v>833</v>
      </c>
      <c r="K5" s="2">
        <f>8.42857142857143+6.71428571428571</f>
        <v>15.142857142857141</v>
      </c>
      <c r="M5" s="1">
        <v>2</v>
      </c>
      <c r="N5" s="1" t="s">
        <v>834</v>
      </c>
      <c r="O5" s="2">
        <f>18+6/5</f>
        <v>19.2</v>
      </c>
      <c r="Q5" s="1">
        <v>2</v>
      </c>
      <c r="R5" s="1" t="s">
        <v>835</v>
      </c>
      <c r="S5" s="2">
        <f>11/14-5/14</f>
        <v>0.42857142857142855</v>
      </c>
      <c r="U5" s="1">
        <v>2</v>
      </c>
      <c r="V5" s="1" t="s">
        <v>836</v>
      </c>
      <c r="W5" s="2">
        <f>3/5-1/10</f>
        <v>0.5</v>
      </c>
      <c r="Y5" s="1">
        <v>2</v>
      </c>
      <c r="Z5" s="6" t="s">
        <v>837</v>
      </c>
      <c r="AA5" s="2">
        <f>9-9/10</f>
        <v>8.1</v>
      </c>
      <c r="AC5" s="1">
        <v>2</v>
      </c>
      <c r="AD5" s="1" t="s">
        <v>838</v>
      </c>
      <c r="AE5" s="2">
        <f>7.6-4.3</f>
        <v>3.3</v>
      </c>
      <c r="AG5" s="1">
        <v>2</v>
      </c>
      <c r="AH5" s="6" t="s">
        <v>839</v>
      </c>
      <c r="AI5" s="2">
        <f>12-1.77777777777778</f>
        <v>10.22222222222222</v>
      </c>
      <c r="AK5" s="1">
        <v>2</v>
      </c>
      <c r="AL5" s="1" t="s">
        <v>840</v>
      </c>
      <c r="AM5" s="2">
        <f>1.875-1</f>
        <v>0.875</v>
      </c>
      <c r="AO5" s="1">
        <v>2</v>
      </c>
      <c r="AP5" s="1" t="s">
        <v>841</v>
      </c>
      <c r="AQ5" s="2">
        <f>3/4-5/8+7/12</f>
        <v>0.70833333333333337</v>
      </c>
      <c r="AS5" s="1">
        <v>2</v>
      </c>
      <c r="AT5" s="1" t="s">
        <v>842</v>
      </c>
      <c r="AU5" s="2">
        <f>6+1.33333333333333-2/5</f>
        <v>6.93333333333333</v>
      </c>
      <c r="AW5" s="1">
        <v>2</v>
      </c>
      <c r="AX5" s="1" t="s">
        <v>843</v>
      </c>
      <c r="AY5" s="2">
        <f>4.5+(3/5-1/6)</f>
        <v>4.9333333333333336</v>
      </c>
      <c r="BA5" s="1">
        <v>2</v>
      </c>
      <c r="BB5" s="1" t="s">
        <v>844</v>
      </c>
      <c r="BC5" s="2">
        <f>4/5*10/9</f>
        <v>0.88888888888888884</v>
      </c>
      <c r="BE5" s="1">
        <v>2</v>
      </c>
      <c r="BF5" s="1" t="s">
        <v>845</v>
      </c>
      <c r="BG5" s="2">
        <f>3.25*1.07692307692308</f>
        <v>3.5000000000000098</v>
      </c>
      <c r="BI5" s="1">
        <v>2</v>
      </c>
      <c r="BJ5" s="1" t="s">
        <v>846</v>
      </c>
      <c r="BK5" s="2">
        <f>2.5*1/5*2</f>
        <v>1</v>
      </c>
      <c r="BM5" s="1">
        <v>2</v>
      </c>
      <c r="BN5" s="1" t="s">
        <v>847</v>
      </c>
      <c r="BO5" s="2">
        <f>16*(14.0625*5.16666666666667)</f>
        <v>1162.5000000000007</v>
      </c>
      <c r="BQ5" s="1">
        <v>2</v>
      </c>
      <c r="BR5" s="1" t="s">
        <v>848</v>
      </c>
      <c r="BS5" s="2">
        <f>5/6*42</f>
        <v>35</v>
      </c>
      <c r="BT5" s="2"/>
      <c r="BU5" s="7">
        <v>2</v>
      </c>
      <c r="BV5" s="8">
        <v>0.75</v>
      </c>
      <c r="BW5" s="8">
        <v>0.2</v>
      </c>
      <c r="BX5" s="7">
        <v>1</v>
      </c>
      <c r="BY5" s="7">
        <v>1</v>
      </c>
      <c r="BZ5" s="7">
        <v>40</v>
      </c>
      <c r="CA5" s="7">
        <f t="shared" ref="CA5:CA18" si="0">PRODUCT(BV5:BZ5)</f>
        <v>6.0000000000000009</v>
      </c>
      <c r="CC5" s="1">
        <v>2</v>
      </c>
      <c r="CD5" s="1" t="s">
        <v>849</v>
      </c>
      <c r="CE5" s="2">
        <f>(5/6)/(2/3)</f>
        <v>1.2500000000000002</v>
      </c>
      <c r="CG5" s="1">
        <v>2</v>
      </c>
      <c r="CH5" s="1" t="s">
        <v>850</v>
      </c>
      <c r="CI5" s="2">
        <f>15/(3/4)</f>
        <v>20</v>
      </c>
      <c r="CK5" s="1">
        <v>2</v>
      </c>
      <c r="CL5" s="1" t="s">
        <v>851</v>
      </c>
      <c r="CM5" s="2">
        <f>(2.33333333333333)/(3.5)</f>
        <v>0.66666666666666574</v>
      </c>
      <c r="CO5" s="1">
        <v>2</v>
      </c>
      <c r="CP5" s="1" t="s">
        <v>852</v>
      </c>
      <c r="CQ5" s="2">
        <f>((3.4)/(17/3))*1.66666666666667</f>
        <v>1.000000000000002</v>
      </c>
    </row>
    <row r="6" spans="1:95">
      <c r="A6" s="1">
        <v>3</v>
      </c>
      <c r="B6" s="1" t="s">
        <v>853</v>
      </c>
      <c r="C6" s="2">
        <f>3/8+5/8+2/8</f>
        <v>1.25</v>
      </c>
      <c r="E6" s="1">
        <v>3</v>
      </c>
      <c r="F6" s="1" t="s">
        <v>854</v>
      </c>
      <c r="G6" s="2">
        <f>5/8+11/64</f>
        <v>0.796875</v>
      </c>
      <c r="I6" s="1">
        <v>3</v>
      </c>
      <c r="J6" s="1" t="s">
        <v>855</v>
      </c>
      <c r="K6" s="2">
        <f>9.6+4.1</f>
        <v>13.7</v>
      </c>
      <c r="M6" s="1">
        <v>3</v>
      </c>
      <c r="N6" s="1" t="s">
        <v>856</v>
      </c>
      <c r="O6" s="2">
        <f>14/12+60</f>
        <v>61.166666666666664</v>
      </c>
      <c r="Q6" s="1">
        <v>3</v>
      </c>
      <c r="R6" s="1" t="s">
        <v>857</v>
      </c>
      <c r="S6" s="2">
        <f>17/20-7/20</f>
        <v>0.5</v>
      </c>
      <c r="U6" s="1">
        <v>3</v>
      </c>
      <c r="V6" s="1" t="s">
        <v>858</v>
      </c>
      <c r="W6" s="2">
        <f>7/12-1/4</f>
        <v>0.33333333333333337</v>
      </c>
      <c r="Y6" s="1">
        <v>3</v>
      </c>
      <c r="Z6" s="6" t="s">
        <v>859</v>
      </c>
      <c r="AA6" s="2">
        <f>13-7/8</f>
        <v>12.125</v>
      </c>
      <c r="AC6" s="1">
        <v>3</v>
      </c>
      <c r="AD6" s="1" t="s">
        <v>860</v>
      </c>
      <c r="AE6" s="2">
        <f>8.83333333333333-5.08333333333333</f>
        <v>3.75</v>
      </c>
      <c r="AG6" s="1">
        <v>3</v>
      </c>
      <c r="AH6" s="6" t="s">
        <v>861</v>
      </c>
      <c r="AI6" s="2">
        <f>10-5.75</f>
        <v>4.25</v>
      </c>
      <c r="AK6" s="1">
        <v>3</v>
      </c>
      <c r="AL6" s="1" t="s">
        <v>862</v>
      </c>
      <c r="AM6" s="2">
        <f>18.2222222222222-6</f>
        <v>12.2222222222222</v>
      </c>
      <c r="AO6" s="1">
        <v>3</v>
      </c>
      <c r="AP6" s="1" t="s">
        <v>863</v>
      </c>
      <c r="AQ6" s="2">
        <f>7/12+5/9-4/24</f>
        <v>0.97222222222222221</v>
      </c>
      <c r="AS6" s="1">
        <v>3</v>
      </c>
      <c r="AT6" s="1" t="s">
        <v>864</v>
      </c>
      <c r="AU6" s="2">
        <f>9-5.16666666666667+4.08333333333333</f>
        <v>7.9166666666666607</v>
      </c>
      <c r="AW6" s="1">
        <v>3</v>
      </c>
      <c r="AX6" s="1" t="s">
        <v>865</v>
      </c>
      <c r="AY6" s="2">
        <f>7.25-(4-1/2)</f>
        <v>3.75</v>
      </c>
      <c r="BA6" s="1">
        <v>3</v>
      </c>
      <c r="BB6" s="1" t="s">
        <v>866</v>
      </c>
      <c r="BC6" s="2">
        <f>7/8*16/21</f>
        <v>0.66666666666666663</v>
      </c>
      <c r="BE6" s="1">
        <v>3</v>
      </c>
      <c r="BF6" s="1" t="s">
        <v>867</v>
      </c>
      <c r="BG6" s="2">
        <f>5.25*2.22222222222222</f>
        <v>11.666666666666655</v>
      </c>
      <c r="BI6" s="1">
        <v>3</v>
      </c>
      <c r="BJ6" s="1" t="s">
        <v>868</v>
      </c>
      <c r="BK6" s="2">
        <f>3.25*2/13*1/3</f>
        <v>0.16666666666666666</v>
      </c>
      <c r="BM6" s="1">
        <v>3</v>
      </c>
      <c r="BN6" s="1" t="s">
        <v>869</v>
      </c>
      <c r="BO6" s="2">
        <f>(1/2-1/3)*6</f>
        <v>1</v>
      </c>
      <c r="BQ6" s="1">
        <v>3</v>
      </c>
      <c r="BR6" s="1" t="s">
        <v>870</v>
      </c>
      <c r="BS6" s="2">
        <f>7/8*108</f>
        <v>94.5</v>
      </c>
      <c r="BT6" s="2"/>
      <c r="BU6" s="7">
        <v>3</v>
      </c>
      <c r="BV6" s="8">
        <v>0.83333333333333337</v>
      </c>
      <c r="BW6" s="8">
        <v>0.1111111111111111</v>
      </c>
      <c r="BX6" s="7">
        <v>1</v>
      </c>
      <c r="BY6" s="7">
        <v>1</v>
      </c>
      <c r="BZ6" s="7">
        <v>108</v>
      </c>
      <c r="CA6" s="7">
        <f t="shared" si="0"/>
        <v>10</v>
      </c>
      <c r="CC6" s="1">
        <v>3</v>
      </c>
      <c r="CD6" s="1" t="s">
        <v>871</v>
      </c>
      <c r="CE6" s="2">
        <f>(7/8)/(14/9)</f>
        <v>0.5625</v>
      </c>
      <c r="CG6" s="1">
        <v>3</v>
      </c>
      <c r="CH6" s="1" t="s">
        <v>872</v>
      </c>
      <c r="CI6" s="2">
        <f>9/(2/3)</f>
        <v>13.5</v>
      </c>
      <c r="CK6" s="1">
        <v>3</v>
      </c>
      <c r="CL6" s="1" t="s">
        <v>873</v>
      </c>
      <c r="CM6" s="2">
        <f>(3.25)/(4.33333333333333)</f>
        <v>0.75000000000000056</v>
      </c>
      <c r="CO6" s="1">
        <v>3</v>
      </c>
      <c r="CP6" s="1" t="s">
        <v>874</v>
      </c>
      <c r="CQ6" s="2">
        <f>(1/3+2/30)/(1/6)</f>
        <v>2.4</v>
      </c>
    </row>
    <row r="7" spans="1:95">
      <c r="A7" s="1">
        <v>4</v>
      </c>
      <c r="B7" s="1" t="s">
        <v>875</v>
      </c>
      <c r="C7" s="2">
        <f>2/9+5/9+7/9</f>
        <v>1.5555555555555556</v>
      </c>
      <c r="E7" s="1">
        <v>4</v>
      </c>
      <c r="F7" s="1" t="s">
        <v>876</v>
      </c>
      <c r="G7" s="2">
        <f>7/24+11/30</f>
        <v>0.65833333333333333</v>
      </c>
      <c r="I7" s="1">
        <v>4</v>
      </c>
      <c r="J7" s="1" t="s">
        <v>877</v>
      </c>
      <c r="K7" s="2">
        <f>7.125+3.20833333333333</f>
        <v>10.33333333333333</v>
      </c>
      <c r="M7" s="1">
        <v>4</v>
      </c>
      <c r="N7" s="1" t="s">
        <v>878</v>
      </c>
      <c r="O7" s="2">
        <f>14+5.66666666666667</f>
        <v>19.666666666666671</v>
      </c>
      <c r="Q7" s="1">
        <v>4</v>
      </c>
      <c r="R7" s="1" t="s">
        <v>879</v>
      </c>
      <c r="S7" s="2">
        <f>8/15-3/15</f>
        <v>0.33333333333333331</v>
      </c>
      <c r="U7" s="1">
        <v>4</v>
      </c>
      <c r="V7" s="1" t="s">
        <v>880</v>
      </c>
      <c r="W7" s="2">
        <f>11/8-7/24</f>
        <v>1.0833333333333333</v>
      </c>
      <c r="Y7" s="1">
        <v>4</v>
      </c>
      <c r="Z7" s="6" t="s">
        <v>881</v>
      </c>
      <c r="AA7" s="2">
        <f>16-1/11</f>
        <v>15.909090909090908</v>
      </c>
      <c r="AC7" s="1">
        <v>4</v>
      </c>
      <c r="AD7" s="1" t="s">
        <v>882</v>
      </c>
      <c r="AE7" s="2">
        <f>9.875-2.20833333333333</f>
        <v>7.6666666666666696</v>
      </c>
      <c r="AG7" s="1">
        <v>4</v>
      </c>
      <c r="AH7" s="6" t="s">
        <v>883</v>
      </c>
      <c r="AI7" s="2">
        <f>14-13.8823529411765</f>
        <v>0.11764705882350057</v>
      </c>
      <c r="AK7" s="1">
        <v>4</v>
      </c>
      <c r="AL7" s="1" t="s">
        <v>884</v>
      </c>
      <c r="AM7" s="2">
        <f>20.75-14</f>
        <v>6.75</v>
      </c>
      <c r="AO7" s="1">
        <v>4</v>
      </c>
      <c r="AP7" s="1" t="s">
        <v>885</v>
      </c>
      <c r="AQ7" s="2">
        <f>11/15-7/30+3/10</f>
        <v>0.79999999999999993</v>
      </c>
      <c r="AS7" s="1">
        <v>4</v>
      </c>
      <c r="AT7" s="1" t="s">
        <v>886</v>
      </c>
      <c r="AU7" s="2">
        <f>35-1/8-3/24</f>
        <v>34.75</v>
      </c>
      <c r="AW7" s="1">
        <v>4</v>
      </c>
      <c r="AX7" s="1" t="s">
        <v>887</v>
      </c>
      <c r="AY7" s="2">
        <f>3.625-(2.75+1/8)</f>
        <v>0.75</v>
      </c>
      <c r="BA7" s="1">
        <v>4</v>
      </c>
      <c r="BB7" s="1" t="s">
        <v>888</v>
      </c>
      <c r="BC7" s="2">
        <f>52/24*4/13</f>
        <v>0.66666666666666663</v>
      </c>
      <c r="BE7" s="1">
        <v>4</v>
      </c>
      <c r="BF7" s="1" t="s">
        <v>889</v>
      </c>
      <c r="BG7" s="2">
        <f>6.28571428571429*1.27272727272727</f>
        <v>7.9999999999999885</v>
      </c>
      <c r="BI7" s="1">
        <v>4</v>
      </c>
      <c r="BJ7" s="1" t="s">
        <v>890</v>
      </c>
      <c r="BK7" s="2">
        <f>5/6*9/7*2.33333333333333</f>
        <v>2.4999999999999964</v>
      </c>
      <c r="BM7" s="1">
        <v>4</v>
      </c>
      <c r="BN7" s="1" t="s">
        <v>891</v>
      </c>
      <c r="BO7" s="2">
        <f>(1/2+3/4)*1/5</f>
        <v>0.25</v>
      </c>
      <c r="BQ7" s="1">
        <v>4</v>
      </c>
      <c r="BR7" s="1" t="s">
        <v>892</v>
      </c>
      <c r="BS7" s="2">
        <f>2/9*13</f>
        <v>2.8888888888888888</v>
      </c>
      <c r="BT7" s="2"/>
      <c r="BU7" s="7">
        <v>4</v>
      </c>
      <c r="BV7" s="8">
        <v>0.42857142857142855</v>
      </c>
      <c r="BW7" s="8">
        <v>0.1</v>
      </c>
      <c r="BX7" s="7">
        <v>1</v>
      </c>
      <c r="BY7" s="7">
        <v>1</v>
      </c>
      <c r="BZ7" s="7">
        <v>140</v>
      </c>
      <c r="CA7" s="7">
        <f t="shared" si="0"/>
        <v>6</v>
      </c>
      <c r="CC7" s="1">
        <v>4</v>
      </c>
      <c r="CD7" s="1" t="s">
        <v>893</v>
      </c>
      <c r="CE7" s="2">
        <f>(3/5)/(6/7)</f>
        <v>0.70000000000000007</v>
      </c>
      <c r="CG7" s="1">
        <v>4</v>
      </c>
      <c r="CH7" s="1" t="s">
        <v>894</v>
      </c>
      <c r="CI7" s="2">
        <f>6/(5/6)</f>
        <v>7.1999999999999993</v>
      </c>
      <c r="CK7" s="1">
        <v>4</v>
      </c>
      <c r="CL7" s="1" t="s">
        <v>895</v>
      </c>
      <c r="CM7" s="2">
        <f>(5.25)/(6.2)</f>
        <v>0.84677419354838712</v>
      </c>
      <c r="CO7" s="1">
        <v>4</v>
      </c>
      <c r="CP7" s="1" t="s">
        <v>896</v>
      </c>
      <c r="CQ7" s="2">
        <f>(8+3/4)/(4.2)</f>
        <v>2.083333333333333</v>
      </c>
    </row>
    <row r="8" spans="1:95">
      <c r="A8" s="1">
        <v>5</v>
      </c>
      <c r="B8" s="1" t="s">
        <v>897</v>
      </c>
      <c r="C8" s="2">
        <f>3/11+7/11+12/11</f>
        <v>2</v>
      </c>
      <c r="E8" s="1">
        <v>5</v>
      </c>
      <c r="F8" s="1" t="s">
        <v>898</v>
      </c>
      <c r="G8" s="2">
        <f>8/26+15/39</f>
        <v>0.69230769230769229</v>
      </c>
      <c r="I8" s="1">
        <v>5</v>
      </c>
      <c r="J8" s="1" t="s">
        <v>899</v>
      </c>
      <c r="K8" s="2">
        <f>12.8333333333333+13.7777777777778</f>
        <v>26.6111111111111</v>
      </c>
      <c r="M8" s="1">
        <v>5</v>
      </c>
      <c r="N8" s="1" t="s">
        <v>900</v>
      </c>
      <c r="O8" s="2">
        <f>8.25+6+3/8</f>
        <v>14.625</v>
      </c>
      <c r="Q8" s="1">
        <v>5</v>
      </c>
      <c r="R8" s="1" t="s">
        <v>901</v>
      </c>
      <c r="S8" s="2">
        <f>9/16-5/16</f>
        <v>0.25</v>
      </c>
      <c r="U8" s="1">
        <v>5</v>
      </c>
      <c r="V8" s="1" t="s">
        <v>902</v>
      </c>
      <c r="W8" s="2">
        <f>3/7-2/49</f>
        <v>0.38775510204081631</v>
      </c>
      <c r="Y8" s="1">
        <v>5</v>
      </c>
      <c r="Z8" s="6" t="s">
        <v>903</v>
      </c>
      <c r="AA8" s="2">
        <f>25-2/13</f>
        <v>24.846153846153847</v>
      </c>
      <c r="AC8" s="1">
        <v>5</v>
      </c>
      <c r="AD8" s="1" t="s">
        <v>904</v>
      </c>
      <c r="AE8" s="2">
        <f>10.8333333333333-2.77777777777778</f>
        <v>8.0555555555555198</v>
      </c>
      <c r="AG8" s="1">
        <v>5</v>
      </c>
      <c r="AH8" s="6" t="s">
        <v>905</v>
      </c>
      <c r="AI8" s="2">
        <f>16-2.7</f>
        <v>13.3</v>
      </c>
      <c r="AK8" s="1">
        <v>5</v>
      </c>
      <c r="AL8" s="1" t="s">
        <v>906</v>
      </c>
      <c r="AM8" s="2">
        <f>27.8947368421053-16</f>
        <v>11.894736842105299</v>
      </c>
      <c r="AO8" s="1">
        <v>5</v>
      </c>
      <c r="AP8" s="1" t="s">
        <v>907</v>
      </c>
      <c r="AQ8" s="2">
        <f>6/9+15/25-8/15</f>
        <v>0.73333333333333328</v>
      </c>
      <c r="AS8" s="1">
        <v>5</v>
      </c>
      <c r="AT8" s="1" t="s">
        <v>908</v>
      </c>
      <c r="AU8" s="2">
        <f>80-3.6-4.3</f>
        <v>72.100000000000009</v>
      </c>
      <c r="AW8" s="1">
        <v>5</v>
      </c>
      <c r="AX8" s="1" t="s">
        <v>909</v>
      </c>
      <c r="AY8" s="2">
        <f>9-(1/2-1/3)</f>
        <v>8.8333333333333339</v>
      </c>
      <c r="BA8" s="1">
        <v>5</v>
      </c>
      <c r="BB8" s="1" t="s">
        <v>910</v>
      </c>
      <c r="BC8" s="2">
        <f>18/15*90/36</f>
        <v>3</v>
      </c>
      <c r="BE8" s="1">
        <v>5</v>
      </c>
      <c r="BF8" s="1" t="s">
        <v>911</v>
      </c>
      <c r="BG8" s="2">
        <f>3.16666666666667*2.21052631578947</f>
        <v>6.9999999999999956</v>
      </c>
      <c r="BI8" s="1">
        <v>5</v>
      </c>
      <c r="BJ8" s="1" t="s">
        <v>912</v>
      </c>
      <c r="BK8" s="2">
        <f>1.5*1.66666666666667*6/35</f>
        <v>0.42857142857142949</v>
      </c>
      <c r="BM8" s="1">
        <v>5</v>
      </c>
      <c r="BN8" s="1" t="s">
        <v>913</v>
      </c>
      <c r="BO8" s="2">
        <f>(1-3/8)*1.6</f>
        <v>1</v>
      </c>
      <c r="BQ8" s="1">
        <v>5</v>
      </c>
      <c r="BR8" s="1" t="s">
        <v>914</v>
      </c>
      <c r="BS8" s="2">
        <f>11/12*96</f>
        <v>88</v>
      </c>
      <c r="BT8" s="2"/>
      <c r="BU8" s="7">
        <v>5</v>
      </c>
      <c r="BV8" s="8">
        <v>0.375</v>
      </c>
      <c r="BW8" s="8">
        <v>0.6</v>
      </c>
      <c r="BX8" s="7">
        <v>1</v>
      </c>
      <c r="BY8" s="7">
        <v>1</v>
      </c>
      <c r="BZ8" s="7">
        <v>120</v>
      </c>
      <c r="CA8" s="7">
        <f t="shared" si="0"/>
        <v>26.999999999999996</v>
      </c>
      <c r="CC8" s="1">
        <v>5</v>
      </c>
      <c r="CD8" s="1" t="s">
        <v>915</v>
      </c>
      <c r="CE8" s="2">
        <f>(8/9)/(4/3)</f>
        <v>0.66666666666666663</v>
      </c>
      <c r="CG8" s="1">
        <v>5</v>
      </c>
      <c r="CH8" s="1" t="s">
        <v>916</v>
      </c>
      <c r="CI8" s="2">
        <f>7/(3/5)</f>
        <v>11.666666666666668</v>
      </c>
      <c r="CK8" s="1">
        <v>5</v>
      </c>
      <c r="CL8" s="1" t="s">
        <v>917</v>
      </c>
      <c r="CM8" s="2">
        <f>(7.16666666666667)/(8.14285714285714)</f>
        <v>0.88011695906432807</v>
      </c>
      <c r="CO8" s="1">
        <v>5</v>
      </c>
      <c r="CP8" s="1" t="s">
        <v>918</v>
      </c>
      <c r="CQ8" s="2">
        <f>(4-1/3)/(11/6)</f>
        <v>2</v>
      </c>
    </row>
    <row r="9" spans="1:95">
      <c r="A9" s="1">
        <v>6</v>
      </c>
      <c r="B9" s="1" t="s">
        <v>919</v>
      </c>
      <c r="C9" s="2">
        <f>3/4+1/4+5/4+7/4</f>
        <v>4</v>
      </c>
      <c r="E9" s="1">
        <v>6</v>
      </c>
      <c r="F9" s="1" t="s">
        <v>920</v>
      </c>
      <c r="G9" s="2">
        <f>5/4+7/8+1/16</f>
        <v>2.1875</v>
      </c>
      <c r="I9" s="1">
        <v>6</v>
      </c>
      <c r="J9" s="1" t="s">
        <v>921</v>
      </c>
      <c r="K9" s="2">
        <f>1.1+ 1.01</f>
        <v>2.1100000000000003</v>
      </c>
      <c r="M9" s="1">
        <v>6</v>
      </c>
      <c r="N9" s="1" t="s">
        <v>922</v>
      </c>
      <c r="O9" s="2">
        <f>3/48+10+3.2+8</f>
        <v>21.262499999999999</v>
      </c>
      <c r="Q9" s="1">
        <v>6</v>
      </c>
      <c r="R9" s="1" t="s">
        <v>923</v>
      </c>
      <c r="S9" s="2">
        <f>24/35-10/35</f>
        <v>0.4</v>
      </c>
      <c r="U9" s="1">
        <v>6</v>
      </c>
      <c r="V9" s="1" t="s">
        <v>924</v>
      </c>
      <c r="W9" s="2">
        <f>3/8-1/12</f>
        <v>0.29166666666666669</v>
      </c>
      <c r="Y9" s="1">
        <v>6</v>
      </c>
      <c r="Z9" s="6" t="s">
        <v>925</v>
      </c>
      <c r="AA9" s="2">
        <f>30-7/24</f>
        <v>29.708333333333332</v>
      </c>
      <c r="AC9" s="1">
        <v>6</v>
      </c>
      <c r="AD9" s="1" t="s">
        <v>926</v>
      </c>
      <c r="AE9" s="2">
        <f>12.6666666666667-7.09090909090909</f>
        <v>5.5757575757576099</v>
      </c>
      <c r="AG9" s="1">
        <v>6</v>
      </c>
      <c r="AH9" s="6" t="s">
        <v>927</v>
      </c>
      <c r="AI9" s="2">
        <f>18-3.27272727272727</f>
        <v>14.72727272727273</v>
      </c>
      <c r="AK9" s="1">
        <v>6</v>
      </c>
      <c r="AL9" s="1" t="s">
        <v>928</v>
      </c>
      <c r="AM9" s="2">
        <f>35.92-18</f>
        <v>17.920000000000002</v>
      </c>
      <c r="AO9" s="1">
        <v>6</v>
      </c>
      <c r="AP9" s="1" t="s">
        <v>929</v>
      </c>
      <c r="AQ9" s="2">
        <f>5/6-1/90+4/7</f>
        <v>1.3936507936507936</v>
      </c>
      <c r="AS9" s="1">
        <v>6</v>
      </c>
      <c r="AT9" s="1" t="s">
        <v>930</v>
      </c>
      <c r="AU9" s="2">
        <f>6.06666666666667-4.03333333333333+7/25</f>
        <v>2.3133333333333406</v>
      </c>
      <c r="AW9" s="1">
        <v>6</v>
      </c>
      <c r="AX9" s="1" t="s">
        <v>931</v>
      </c>
      <c r="AY9" s="2">
        <f>1/6+(1/2-1/8)</f>
        <v>0.54166666666666663</v>
      </c>
      <c r="BA9" s="1">
        <v>6</v>
      </c>
      <c r="BB9" s="1" t="s">
        <v>932</v>
      </c>
      <c r="BC9" s="2">
        <f>21/22*11/49</f>
        <v>0.21428571428571427</v>
      </c>
      <c r="BE9" s="1">
        <v>6</v>
      </c>
      <c r="BF9" s="1" t="s">
        <v>933</v>
      </c>
      <c r="BG9" s="2">
        <f>8.11111111111111*1.02739726027397</f>
        <v>8.3333333333333126</v>
      </c>
      <c r="BI9" s="1">
        <v>6</v>
      </c>
      <c r="BJ9" s="1" t="s">
        <v>934</v>
      </c>
      <c r="BK9" s="2">
        <f>(7/9)*(9/4)*(18/35)</f>
        <v>0.89999999999999991</v>
      </c>
      <c r="BM9" s="1">
        <v>6</v>
      </c>
      <c r="BN9" s="1" t="s">
        <v>935</v>
      </c>
      <c r="BO9" s="2">
        <f>72*(7/8+2/9)</f>
        <v>79</v>
      </c>
      <c r="BQ9" s="1">
        <v>6</v>
      </c>
      <c r="BR9" s="1" t="s">
        <v>936</v>
      </c>
      <c r="BS9" s="2">
        <f>9/17*51</f>
        <v>27</v>
      </c>
      <c r="BT9" s="2"/>
      <c r="BU9" s="7">
        <v>6</v>
      </c>
      <c r="BV9" s="8">
        <v>0.2857142857142857</v>
      </c>
      <c r="BW9" s="8">
        <v>0.375</v>
      </c>
      <c r="BX9" s="7">
        <v>1</v>
      </c>
      <c r="BY9" s="7">
        <v>1</v>
      </c>
      <c r="BZ9" s="7">
        <v>112</v>
      </c>
      <c r="CA9" s="7">
        <f t="shared" si="0"/>
        <v>12</v>
      </c>
      <c r="CC9" s="1">
        <v>6</v>
      </c>
      <c r="CD9" s="1" t="s">
        <v>937</v>
      </c>
      <c r="CE9" s="2">
        <f>(6/11)/(5/22)</f>
        <v>2.4</v>
      </c>
      <c r="CG9" s="1">
        <v>6</v>
      </c>
      <c r="CH9" s="1" t="s">
        <v>938</v>
      </c>
      <c r="CI9" s="2">
        <f>26/(1/8)</f>
        <v>208</v>
      </c>
      <c r="CK9" s="1">
        <v>6</v>
      </c>
      <c r="CL9" s="1" t="s">
        <v>939</v>
      </c>
      <c r="CM9" s="2">
        <f>(2.6)/(3.9)</f>
        <v>0.66666666666666674</v>
      </c>
      <c r="CO9" s="1">
        <v>6</v>
      </c>
      <c r="CP9" s="1" t="s">
        <v>940</v>
      </c>
      <c r="CQ9" s="2">
        <f>(5.25-4)/(1.5)</f>
        <v>0.83333333333333337</v>
      </c>
    </row>
    <row r="10" spans="1:95">
      <c r="A10" s="1">
        <v>7</v>
      </c>
      <c r="B10" s="1" t="s">
        <v>941</v>
      </c>
      <c r="C10" s="2">
        <f>1/6+7/6+11/6+13/6</f>
        <v>5.3333333333333339</v>
      </c>
      <c r="E10" s="1">
        <v>7</v>
      </c>
      <c r="F10" s="1" t="s">
        <v>942</v>
      </c>
      <c r="G10" s="2">
        <f>1/2+1/4+1/8</f>
        <v>0.875</v>
      </c>
      <c r="I10" s="1">
        <v>7</v>
      </c>
      <c r="J10" s="1" t="s">
        <v>943</v>
      </c>
      <c r="K10" s="2">
        <f>5.125+6.15</f>
        <v>11.275</v>
      </c>
      <c r="M10" s="1">
        <v>7</v>
      </c>
      <c r="N10" s="1" t="s">
        <v>944</v>
      </c>
      <c r="O10" s="2">
        <f>6+2.03333333333333+5+7.02222222222222</f>
        <v>20.05555555555555</v>
      </c>
      <c r="Q10" s="1">
        <v>7</v>
      </c>
      <c r="R10" s="1" t="s">
        <v>945</v>
      </c>
      <c r="S10" s="2">
        <f>19/42-12/42</f>
        <v>0.16666666666666669</v>
      </c>
      <c r="U10" s="1">
        <v>7</v>
      </c>
      <c r="V10" s="1" t="s">
        <v>946</v>
      </c>
      <c r="W10" s="2">
        <f>7/6-7/8</f>
        <v>0.29166666666666674</v>
      </c>
      <c r="Y10" s="1">
        <v>7</v>
      </c>
      <c r="Z10" s="6" t="s">
        <v>947</v>
      </c>
      <c r="AA10" s="2">
        <f>32-17/80</f>
        <v>31.787500000000001</v>
      </c>
      <c r="AC10" s="1">
        <v>7</v>
      </c>
      <c r="AD10" s="1" t="s">
        <v>948</v>
      </c>
      <c r="AE10" s="2">
        <f>6.76666666666667-2.175</f>
        <v>4.5916666666666703</v>
      </c>
      <c r="AG10" s="1">
        <v>7</v>
      </c>
      <c r="AH10" s="6" t="s">
        <v>949</v>
      </c>
      <c r="AI10" s="2">
        <f>20-4.05</f>
        <v>15.95</v>
      </c>
      <c r="AK10" s="1">
        <v>7</v>
      </c>
      <c r="AL10" s="1" t="s">
        <v>950</v>
      </c>
      <c r="AM10" s="2">
        <f>40.1818181818182-17</f>
        <v>23.181818181818201</v>
      </c>
      <c r="AO10" s="1">
        <v>7</v>
      </c>
      <c r="AP10" s="1" t="s">
        <v>951</v>
      </c>
      <c r="AQ10" s="2">
        <f>4/41+7/82-1/6</f>
        <v>1.6260162601626021E-2</v>
      </c>
      <c r="AS10" s="1">
        <v>7</v>
      </c>
      <c r="AT10" s="1" t="s">
        <v>952</v>
      </c>
      <c r="AU10" s="2">
        <f>7/20+3.0625-2.2</f>
        <v>1.2124999999999999</v>
      </c>
      <c r="AW10" s="1">
        <v>7</v>
      </c>
      <c r="AX10" s="1" t="s">
        <v>953</v>
      </c>
      <c r="AY10" s="2">
        <f>50-(6-1/5)</f>
        <v>44.2</v>
      </c>
      <c r="BA10" s="1">
        <v>7</v>
      </c>
      <c r="BB10" s="1" t="s">
        <v>954</v>
      </c>
      <c r="BC10" s="2">
        <f>13/4*72/39</f>
        <v>6</v>
      </c>
      <c r="BE10" s="1">
        <v>7</v>
      </c>
      <c r="BF10" s="1" t="s">
        <v>955</v>
      </c>
      <c r="BG10" s="2">
        <f>14.8*5.83333333333333</f>
        <v>86.3333333333333</v>
      </c>
      <c r="BI10" s="1">
        <v>7</v>
      </c>
      <c r="BJ10" s="1" t="s">
        <v>956</v>
      </c>
      <c r="BK10" s="2">
        <f>11/12*24*7/121</f>
        <v>1.2727272727272727</v>
      </c>
      <c r="BM10" s="1">
        <v>7</v>
      </c>
      <c r="BN10" s="1" t="s">
        <v>957</v>
      </c>
      <c r="BO10" s="2">
        <f>(5.66666666666667-2/9)*3</f>
        <v>16.333333333333343</v>
      </c>
      <c r="BQ10" s="1">
        <v>7</v>
      </c>
      <c r="BR10" s="1" t="s">
        <v>958</v>
      </c>
      <c r="BS10" s="2">
        <f>3/4*81</f>
        <v>60.75</v>
      </c>
      <c r="BT10" s="2"/>
      <c r="BU10" s="7">
        <v>7</v>
      </c>
      <c r="BV10" s="8">
        <v>0.45454545454545453</v>
      </c>
      <c r="BW10" s="8">
        <v>0.77777777777777779</v>
      </c>
      <c r="BX10" s="7">
        <v>1</v>
      </c>
      <c r="BY10" s="7">
        <v>1</v>
      </c>
      <c r="BZ10" s="7">
        <v>33</v>
      </c>
      <c r="CA10" s="9">
        <f t="shared" si="0"/>
        <v>11.666666666666666</v>
      </c>
      <c r="CC10" s="1">
        <v>7</v>
      </c>
      <c r="CD10" s="1" t="s">
        <v>959</v>
      </c>
      <c r="CE10" s="2">
        <f>(5/12)/(3/4)</f>
        <v>0.55555555555555558</v>
      </c>
      <c r="CG10" s="1">
        <v>7</v>
      </c>
      <c r="CH10" s="1" t="s">
        <v>960</v>
      </c>
      <c r="CI10" s="2">
        <f>21/(42/5)</f>
        <v>2.5</v>
      </c>
      <c r="CK10" s="1">
        <v>7</v>
      </c>
      <c r="CL10" s="1" t="s">
        <v>961</v>
      </c>
      <c r="CM10" s="2">
        <f>(1.54545454545455)/(1.83333333333333)</f>
        <v>0.84297520661157432</v>
      </c>
      <c r="CO10" s="1">
        <v>7</v>
      </c>
      <c r="CP10" s="1" t="s">
        <v>962</v>
      </c>
      <c r="CQ10" s="2">
        <f>((5/6)/(3.25))/(1.66666666666667)</f>
        <v>0.15384615384615355</v>
      </c>
    </row>
    <row r="11" spans="1:95">
      <c r="A11" s="1">
        <v>8</v>
      </c>
      <c r="B11" s="1" t="s">
        <v>963</v>
      </c>
      <c r="C11" s="2">
        <f>5/7+8/7+10/7+15/7</f>
        <v>5.4285714285714288</v>
      </c>
      <c r="E11" s="1">
        <v>8</v>
      </c>
      <c r="F11" s="1" t="s">
        <v>964</v>
      </c>
      <c r="G11" s="2">
        <f>7/5+8/15+11/60</f>
        <v>2.1166666666666663</v>
      </c>
      <c r="I11" s="1">
        <v>8</v>
      </c>
      <c r="J11" s="1" t="s">
        <v>965</v>
      </c>
      <c r="K11" s="2">
        <f>8.35+5.44</f>
        <v>13.79</v>
      </c>
      <c r="M11" s="1">
        <v>8</v>
      </c>
      <c r="N11" s="1" t="s">
        <v>966</v>
      </c>
      <c r="O11" s="2">
        <f>2.05+3.125+9+7/36</f>
        <v>14.369444444444445</v>
      </c>
      <c r="Q11" s="1">
        <v>8</v>
      </c>
      <c r="R11" s="1" t="s">
        <v>967</v>
      </c>
      <c r="S11" s="2">
        <f>7/8-5/8-1/8</f>
        <v>0.125</v>
      </c>
      <c r="U11" s="1">
        <v>8</v>
      </c>
      <c r="V11" s="1" t="s">
        <v>968</v>
      </c>
      <c r="W11" s="2">
        <f>11/10-14/15</f>
        <v>0.16666666666666674</v>
      </c>
      <c r="Y11" s="1">
        <v>8</v>
      </c>
      <c r="Z11" s="6" t="s">
        <v>969</v>
      </c>
      <c r="AA11" s="2">
        <f>81-1/90</f>
        <v>80.988888888888894</v>
      </c>
      <c r="AC11" s="1">
        <v>8</v>
      </c>
      <c r="AD11" s="1" t="s">
        <v>970</v>
      </c>
      <c r="AE11" s="2">
        <f>11.375-5.04166666666667</f>
        <v>6.3333333333333304</v>
      </c>
      <c r="AG11" s="1">
        <v>8</v>
      </c>
      <c r="AH11" s="6" t="s">
        <v>971</v>
      </c>
      <c r="AI11" s="2">
        <f>21-5.03333333333333</f>
        <v>15.96666666666667</v>
      </c>
      <c r="AK11" s="1">
        <v>8</v>
      </c>
      <c r="AL11" s="1" t="s">
        <v>972</v>
      </c>
      <c r="AM11" s="2">
        <f>31.0365853658537-30</f>
        <v>1.0365853658536999</v>
      </c>
      <c r="AO11" s="1">
        <v>8</v>
      </c>
      <c r="AP11" s="1" t="s">
        <v>973</v>
      </c>
      <c r="AQ11" s="2">
        <f>11/26+9/91-3/39</f>
        <v>0.44505494505494508</v>
      </c>
      <c r="AS11" s="1">
        <v>8</v>
      </c>
      <c r="AT11" s="1" t="s">
        <v>974</v>
      </c>
      <c r="AU11" s="2">
        <f>9.66666666666667+5.14583333333333-1/60</f>
        <v>14.795833333333333</v>
      </c>
      <c r="AW11" s="1">
        <v>8</v>
      </c>
      <c r="AX11" s="1" t="s">
        <v>975</v>
      </c>
      <c r="AY11" s="2">
        <f>27-(3.375-2.25)</f>
        <v>25.875</v>
      </c>
      <c r="BA11" s="1">
        <v>8</v>
      </c>
      <c r="BB11" s="1" t="s">
        <v>976</v>
      </c>
      <c r="BC11" s="2">
        <f>24/102*51/72</f>
        <v>0.16666666666666666</v>
      </c>
      <c r="BE11" s="1">
        <v>8</v>
      </c>
      <c r="BF11" s="1" t="s">
        <v>977</v>
      </c>
      <c r="BG11" s="2">
        <f>1.5*1.33333333333333*1.2</f>
        <v>2.3999999999999937</v>
      </c>
      <c r="BI11" s="1">
        <v>8</v>
      </c>
      <c r="BJ11" s="1" t="s">
        <v>978</v>
      </c>
      <c r="BK11" s="2">
        <f>5/9*7/8*4.33333333333333*4/35</f>
        <v>0.24074074074074059</v>
      </c>
      <c r="BM11" s="1">
        <v>8</v>
      </c>
      <c r="BN11" s="1" t="s">
        <v>979</v>
      </c>
      <c r="BO11" s="2">
        <f>(4+2.6)*1/66</f>
        <v>9.9999999999999992E-2</v>
      </c>
      <c r="BQ11" s="1">
        <v>8</v>
      </c>
      <c r="BR11" s="1" t="s">
        <v>980</v>
      </c>
      <c r="BS11" s="2">
        <f>3/5*1/3</f>
        <v>0.19999999999999998</v>
      </c>
      <c r="BT11" s="2"/>
      <c r="BU11" s="7">
        <v>8</v>
      </c>
      <c r="BV11" s="8">
        <v>0.83333333333333337</v>
      </c>
      <c r="BW11" s="8">
        <v>0.5</v>
      </c>
      <c r="BX11" s="7">
        <v>1</v>
      </c>
      <c r="BY11" s="7">
        <v>1</v>
      </c>
      <c r="BZ11" s="7">
        <v>84</v>
      </c>
      <c r="CA11" s="7">
        <f t="shared" si="0"/>
        <v>35</v>
      </c>
      <c r="CC11" s="1">
        <v>8</v>
      </c>
      <c r="CD11" s="1" t="s">
        <v>981</v>
      </c>
      <c r="CE11" s="2">
        <f>(11/14)/(7/22)</f>
        <v>2.4693877551020407</v>
      </c>
      <c r="CG11" s="1">
        <v>8</v>
      </c>
      <c r="CH11" s="1" t="s">
        <v>982</v>
      </c>
      <c r="CI11" s="2">
        <f>52/(14/65)</f>
        <v>241.42857142857142</v>
      </c>
      <c r="CK11" s="1">
        <v>8</v>
      </c>
      <c r="CL11" s="1" t="s">
        <v>983</v>
      </c>
      <c r="CM11" s="2">
        <f>(1.125)/(3.6)</f>
        <v>0.3125</v>
      </c>
      <c r="CO11" s="1">
        <v>8</v>
      </c>
      <c r="CP11" s="1" t="s">
        <v>984</v>
      </c>
      <c r="CQ11" s="2">
        <f>(3/5)/(2/3+5/6)</f>
        <v>0.39999999999999997</v>
      </c>
    </row>
    <row r="12" spans="1:95">
      <c r="A12" s="1">
        <v>9</v>
      </c>
      <c r="B12" s="1" t="s">
        <v>985</v>
      </c>
      <c r="C12" s="2">
        <v>2.6470588235294099</v>
      </c>
      <c r="E12" s="1">
        <v>9</v>
      </c>
      <c r="F12" s="1" t="s">
        <v>986</v>
      </c>
      <c r="G12" s="2">
        <f>9/10+8/15+13/75</f>
        <v>1.6066666666666667</v>
      </c>
      <c r="I12" s="1">
        <v>9</v>
      </c>
      <c r="J12" s="1" t="s">
        <v>987</v>
      </c>
      <c r="K12" s="2">
        <f>3.01538461538462+11.0384615384615</f>
        <v>14.05384615384612</v>
      </c>
      <c r="M12" s="1">
        <v>9</v>
      </c>
      <c r="N12" s="1" t="s">
        <v>988</v>
      </c>
      <c r="O12" s="2">
        <f>7/45+4+11/60+2.01111111111111</f>
        <v>6.35</v>
      </c>
      <c r="Q12" s="1">
        <v>9</v>
      </c>
      <c r="R12" s="1" t="s">
        <v>989</v>
      </c>
      <c r="S12" s="2">
        <f>11/12-7/12-4/12</f>
        <v>0</v>
      </c>
      <c r="U12" s="1">
        <v>9</v>
      </c>
      <c r="V12" s="1" t="s">
        <v>990</v>
      </c>
      <c r="W12" s="2">
        <f>11/12-7/16</f>
        <v>0.47916666666666663</v>
      </c>
      <c r="Y12" s="1">
        <v>9</v>
      </c>
      <c r="Z12" s="6" t="s">
        <v>991</v>
      </c>
      <c r="AA12" s="2">
        <f>93-45/83</f>
        <v>92.4578313253012</v>
      </c>
      <c r="AC12" s="1">
        <v>9</v>
      </c>
      <c r="AD12" s="1" t="s">
        <v>992</v>
      </c>
      <c r="AE12" s="2">
        <f>19.7142857142857-12.0761904761905</f>
        <v>7.6380952380952003</v>
      </c>
      <c r="AG12" s="1">
        <v>9</v>
      </c>
      <c r="AH12" s="6" t="s">
        <v>993</v>
      </c>
      <c r="AI12" s="2">
        <f>31- 6.05714285714286</f>
        <v>24.94285714285714</v>
      </c>
      <c r="AK12" s="1">
        <v>9</v>
      </c>
      <c r="AL12" s="1" t="s">
        <v>994</v>
      </c>
      <c r="AM12" s="2">
        <f>42.0461538461538-19</f>
        <v>23.0461538461538</v>
      </c>
      <c r="AO12" s="1">
        <v>9</v>
      </c>
      <c r="AP12" s="1" t="s">
        <v>995</v>
      </c>
      <c r="AQ12" s="7" t="s">
        <v>996</v>
      </c>
      <c r="AS12" s="1">
        <v>9</v>
      </c>
      <c r="AT12" s="1" t="s">
        <v>997</v>
      </c>
      <c r="AU12" s="2">
        <f>8.42857142857143+4.05357142857143-1/98</f>
        <v>12.471938775510209</v>
      </c>
      <c r="AW12" s="1">
        <v>9</v>
      </c>
      <c r="AX12" s="1" t="s">
        <v>998</v>
      </c>
      <c r="AY12" s="2">
        <f>7.6+(6.33333333333333-2/9)</f>
        <v>13.711111111111109</v>
      </c>
      <c r="BA12" s="1">
        <v>9</v>
      </c>
      <c r="BB12" s="1" t="s">
        <v>999</v>
      </c>
      <c r="BC12" s="2">
        <f>2/3*6/7*1/4</f>
        <v>0.14285714285714285</v>
      </c>
      <c r="BE12" s="1">
        <v>9</v>
      </c>
      <c r="BF12" s="1" t="s">
        <v>1000</v>
      </c>
      <c r="BG12" s="2">
        <f>2.83333333333333*3.75*1.05882352941176</f>
        <v>11.249999999999938</v>
      </c>
      <c r="BI12" s="1">
        <v>9</v>
      </c>
      <c r="BJ12" s="1" t="s">
        <v>1001</v>
      </c>
      <c r="BK12" s="2">
        <f>13*5/6*3/10*5/26</f>
        <v>0.625</v>
      </c>
      <c r="BM12" s="1">
        <v>9</v>
      </c>
      <c r="BN12" s="1" t="s">
        <v>1002</v>
      </c>
      <c r="BO12" s="2">
        <f>(8-2/9)*1/35</f>
        <v>0.22222222222222221</v>
      </c>
      <c r="BQ12" s="1">
        <v>9</v>
      </c>
      <c r="BR12" s="1" t="s">
        <v>1003</v>
      </c>
      <c r="BS12" s="2">
        <f>2/3*3/5</f>
        <v>0.4</v>
      </c>
      <c r="BT12" s="2"/>
      <c r="BU12" s="7">
        <v>9</v>
      </c>
      <c r="BV12" s="8">
        <v>0.63636363636363635</v>
      </c>
      <c r="BW12" s="8">
        <v>1.2</v>
      </c>
      <c r="BX12" s="7">
        <v>1</v>
      </c>
      <c r="BY12" s="7">
        <v>1</v>
      </c>
      <c r="BZ12" s="7">
        <v>440</v>
      </c>
      <c r="CA12" s="7">
        <f t="shared" si="0"/>
        <v>335.99999999999994</v>
      </c>
      <c r="CC12" s="1">
        <v>9</v>
      </c>
      <c r="CD12" s="1" t="s">
        <v>1004</v>
      </c>
      <c r="CE12" s="2">
        <f>(3/8)/(5/6)</f>
        <v>0.44999999999999996</v>
      </c>
      <c r="CG12" s="1">
        <v>9</v>
      </c>
      <c r="CH12" s="1" t="s">
        <v>1005</v>
      </c>
      <c r="CI12" s="2">
        <f>(3/8)/5</f>
        <v>7.4999999999999997E-2</v>
      </c>
      <c r="CK12" s="1">
        <v>9</v>
      </c>
      <c r="CL12" s="1" t="s">
        <v>1006</v>
      </c>
      <c r="CM12" s="2">
        <f>(5.66666666666667)/(8.5)</f>
        <v>0.66666666666666696</v>
      </c>
      <c r="CO12" s="1">
        <v>9</v>
      </c>
      <c r="CP12" s="1" t="s">
        <v>1007</v>
      </c>
      <c r="CQ12" s="2">
        <f>(9/10)/(2.33333333333333-1.25)</f>
        <v>0.83076923076923337</v>
      </c>
    </row>
    <row r="13" spans="1:95">
      <c r="A13" s="1">
        <v>10</v>
      </c>
      <c r="B13" s="1" t="s">
        <v>1008</v>
      </c>
      <c r="C13" s="2">
        <f>5/21+10/21+23/21+4/21</f>
        <v>2</v>
      </c>
      <c r="E13" s="1">
        <v>10</v>
      </c>
      <c r="F13" s="1" t="s">
        <v>1009</v>
      </c>
      <c r="G13" s="2">
        <f>3/21+1/2+2/49</f>
        <v>0.68367346938775508</v>
      </c>
      <c r="I13" s="1">
        <v>10</v>
      </c>
      <c r="J13" s="1" t="s">
        <v>1010</v>
      </c>
      <c r="K13" s="2">
        <f>7.16363636363636+8.29545454545454</f>
        <v>15.4590909090909</v>
      </c>
      <c r="M13" s="1">
        <v>10</v>
      </c>
      <c r="N13" s="1" t="s">
        <v>1011</v>
      </c>
      <c r="O13" s="2">
        <f>4+7/48+(8.01754385964912)+1/114</f>
        <v>12.172149122807014</v>
      </c>
      <c r="Q13" s="1">
        <v>10</v>
      </c>
      <c r="R13" s="1" t="s">
        <v>1012</v>
      </c>
      <c r="S13" s="2">
        <f>23/25-11/25-7/25</f>
        <v>0.2</v>
      </c>
      <c r="U13" s="1">
        <v>10</v>
      </c>
      <c r="V13" s="1" t="s">
        <v>1013</v>
      </c>
      <c r="W13" s="2">
        <f>7/62-3/155</f>
        <v>9.3548387096774183E-2</v>
      </c>
      <c r="Y13" s="1">
        <v>10</v>
      </c>
      <c r="Z13" s="6" t="s">
        <v>1014</v>
      </c>
      <c r="AA13" s="2">
        <f>106-104/119</f>
        <v>105.12605042016807</v>
      </c>
      <c r="AC13" s="1">
        <v>10</v>
      </c>
      <c r="AD13" s="1" t="s">
        <v>1015</v>
      </c>
      <c r="AE13" s="2">
        <f>14.2444444444444-5.11666666666667</f>
        <v>9.1277777777777303</v>
      </c>
      <c r="AG13" s="1">
        <v>10</v>
      </c>
      <c r="AH13" s="6" t="s">
        <v>1016</v>
      </c>
      <c r="AI13" s="2">
        <f>40-35.2619047619048</f>
        <v>4.7380952380951982</v>
      </c>
      <c r="AK13" s="1">
        <v>10</v>
      </c>
      <c r="AL13" s="1" t="s">
        <v>1017</v>
      </c>
      <c r="AM13" s="2">
        <f>53.4375-49</f>
        <v>4.4375</v>
      </c>
      <c r="AO13" s="1">
        <v>10</v>
      </c>
      <c r="AP13" s="1" t="s">
        <v>1018</v>
      </c>
      <c r="AQ13" s="7" t="s">
        <v>1019</v>
      </c>
      <c r="AS13" s="1">
        <v>10</v>
      </c>
      <c r="AT13" s="1" t="s">
        <v>1020</v>
      </c>
      <c r="AU13" s="2">
        <f>9+5/8-3+2.11111111111111</f>
        <v>8.7361111111111107</v>
      </c>
      <c r="AW13" s="1">
        <v>10</v>
      </c>
      <c r="AX13" s="1" t="s">
        <v>1021</v>
      </c>
      <c r="AY13" s="2">
        <f>14-(2.5-1.6)</f>
        <v>13.1</v>
      </c>
      <c r="BA13" s="1">
        <v>10</v>
      </c>
      <c r="BB13" s="1" t="s">
        <v>1022</v>
      </c>
      <c r="BC13" s="2">
        <f>3/4*4/5*5/6</f>
        <v>0.5</v>
      </c>
      <c r="BE13" s="1">
        <v>10</v>
      </c>
      <c r="BF13" s="1" t="s">
        <v>1023</v>
      </c>
      <c r="BG13" s="2">
        <f>9.22222222222222*1.01204819277108*2.14285714285714</f>
        <v>19.999999999999883</v>
      </c>
      <c r="BI13" s="1">
        <v>10</v>
      </c>
      <c r="BJ13" s="1" t="s">
        <v>1024</v>
      </c>
      <c r="BK13" s="2">
        <f>2.33333333333333*3.25*4.2*1/637</f>
        <v>4.9999999999999926E-2</v>
      </c>
      <c r="BM13" s="1">
        <v>10</v>
      </c>
      <c r="BN13" s="1" t="s">
        <v>1025</v>
      </c>
      <c r="BO13" s="2">
        <f>(16.6-7/10)*1/159</f>
        <v>0.10000000000000002</v>
      </c>
      <c r="BQ13" s="1">
        <v>10</v>
      </c>
      <c r="BR13" s="1" t="s">
        <v>1026</v>
      </c>
      <c r="BS13" s="2">
        <f>6/5*2/9</f>
        <v>0.26666666666666666</v>
      </c>
      <c r="BT13" s="2"/>
      <c r="BU13" s="7">
        <v>10</v>
      </c>
      <c r="BV13" s="8">
        <v>0.375</v>
      </c>
      <c r="BW13" s="8">
        <v>0.66666666666666663</v>
      </c>
      <c r="BX13" s="9">
        <v>0.5</v>
      </c>
      <c r="BY13" s="7">
        <v>1</v>
      </c>
      <c r="BZ13" s="7">
        <v>96</v>
      </c>
      <c r="CA13" s="7">
        <f t="shared" si="0"/>
        <v>12</v>
      </c>
      <c r="CC13" s="1">
        <v>10</v>
      </c>
      <c r="CD13" s="1" t="s">
        <v>1027</v>
      </c>
      <c r="CE13" s="2">
        <f>(19/21)/(38/7)</f>
        <v>0.16666666666666666</v>
      </c>
      <c r="CG13" s="1">
        <v>10</v>
      </c>
      <c r="CH13" s="1" t="s">
        <v>1028</v>
      </c>
      <c r="CI13" s="2">
        <f>(6/7)/9</f>
        <v>9.5238095238095233E-2</v>
      </c>
      <c r="CK13" s="1">
        <v>10</v>
      </c>
      <c r="CL13" s="1" t="s">
        <v>1029</v>
      </c>
      <c r="CM13" s="2">
        <f>(7.75)/(5.375)</f>
        <v>1.441860465116279</v>
      </c>
      <c r="CO13" s="1">
        <v>10</v>
      </c>
      <c r="CP13" s="1" t="s">
        <v>1030</v>
      </c>
      <c r="CQ13" s="2">
        <f>(5/6)/(2/3*6/5)</f>
        <v>1.0416666666666667</v>
      </c>
    </row>
    <row r="14" spans="1:95">
      <c r="A14" s="1">
        <v>11</v>
      </c>
      <c r="B14" s="1" t="s">
        <v>1031</v>
      </c>
      <c r="C14" s="2">
        <f>5/24+7/24+11/24+13/24+17/24</f>
        <v>2.2083333333333335</v>
      </c>
      <c r="E14" s="1">
        <v>11</v>
      </c>
      <c r="F14" s="1" t="s">
        <v>1032</v>
      </c>
      <c r="G14" s="2">
        <f>3/5+7/4+11/6</f>
        <v>4.1833333333333336</v>
      </c>
      <c r="I14" s="1">
        <v>11</v>
      </c>
      <c r="J14" s="1" t="s">
        <v>1033</v>
      </c>
      <c r="K14" s="2">
        <f>5.8+6.4+8.6</f>
        <v>20.799999999999997</v>
      </c>
      <c r="M14" s="1">
        <v>11</v>
      </c>
      <c r="N14" s="1" t="s">
        <v>1034</v>
      </c>
      <c r="O14" s="2">
        <f>(1/4+1/2+1/3)+1/6</f>
        <v>1.25</v>
      </c>
      <c r="Q14" s="1">
        <v>11</v>
      </c>
      <c r="R14" s="1" t="s">
        <v>1035</v>
      </c>
      <c r="S14" s="2">
        <f>46/51-20/51-9/51</f>
        <v>0.33333333333333326</v>
      </c>
      <c r="U14" s="1">
        <v>11</v>
      </c>
      <c r="V14" s="1" t="s">
        <v>1036</v>
      </c>
      <c r="W14" s="2">
        <f>7/80-1/90</f>
        <v>7.6388888888888881E-2</v>
      </c>
      <c r="Y14" s="1">
        <v>11</v>
      </c>
      <c r="Z14" s="6" t="s">
        <v>1037</v>
      </c>
      <c r="AA14" s="2">
        <f>125-1/125</f>
        <v>124.992</v>
      </c>
      <c r="AC14" s="1">
        <v>11</v>
      </c>
      <c r="AD14" s="1" t="s">
        <v>1038</v>
      </c>
      <c r="AE14" s="2">
        <f>9.16666666666667-7.66666666666667</f>
        <v>1.5</v>
      </c>
      <c r="AG14" s="1">
        <v>11</v>
      </c>
      <c r="AH14" s="6" t="s">
        <v>1039</v>
      </c>
      <c r="AI14" s="2">
        <f>50-18.9473684210526</f>
        <v>31.052631578947398</v>
      </c>
      <c r="AO14" s="1">
        <v>11</v>
      </c>
      <c r="AP14" s="1" t="s">
        <v>1040</v>
      </c>
      <c r="AQ14" s="2">
        <f>1/4-1/5+1/6-1/8</f>
        <v>9.1666666666666646E-2</v>
      </c>
      <c r="AS14" s="1">
        <v>11</v>
      </c>
      <c r="AT14" s="1" t="s">
        <v>1041</v>
      </c>
      <c r="AU14" s="2">
        <f>16.3333333333333-14.4+7.22222222222222</f>
        <v>9.1555555555555195</v>
      </c>
      <c r="AW14" s="1">
        <v>11</v>
      </c>
      <c r="AX14" s="1" t="s">
        <v>1042</v>
      </c>
      <c r="AY14" s="2">
        <f>18-(1/2+1/3+1/4)</f>
        <v>16.916666666666668</v>
      </c>
      <c r="BA14" s="1">
        <v>11</v>
      </c>
      <c r="BB14" s="1" t="s">
        <v>1043</v>
      </c>
      <c r="BC14" s="2">
        <f>6/7*7/8*8/9</f>
        <v>0.66666666666666663</v>
      </c>
      <c r="BE14" s="1">
        <v>11</v>
      </c>
      <c r="BF14" s="1" t="s">
        <v>1044</v>
      </c>
      <c r="BG14" s="2">
        <f>8.33333333333333*5.25*1.12</f>
        <v>48.999999999999986</v>
      </c>
      <c r="BI14" s="1">
        <v>11</v>
      </c>
      <c r="BJ14" s="1" t="s">
        <v>1045</v>
      </c>
      <c r="BK14" s="2">
        <f>11/18*2.11111111111111*36*1/38</f>
        <v>1.2222222222222217</v>
      </c>
      <c r="BM14" s="1">
        <v>11</v>
      </c>
      <c r="BN14" s="1" t="s">
        <v>1046</v>
      </c>
      <c r="BO14" s="2">
        <f>(1/8+5.25-1/20)*9.0625</f>
        <v>48.2578125</v>
      </c>
      <c r="BQ14" s="1">
        <v>11</v>
      </c>
      <c r="BR14" s="1" t="s">
        <v>1047</v>
      </c>
      <c r="BS14" s="2">
        <f>11/7*35/22</f>
        <v>2.5</v>
      </c>
      <c r="BT14" s="2"/>
      <c r="BU14" s="7">
        <v>11</v>
      </c>
      <c r="BV14" s="8">
        <v>0.83333333333333337</v>
      </c>
      <c r="BW14" s="8">
        <v>0.6</v>
      </c>
      <c r="BX14" s="7">
        <v>3</v>
      </c>
      <c r="BY14" s="7">
        <v>1</v>
      </c>
      <c r="BZ14" s="7">
        <v>40</v>
      </c>
      <c r="CA14" s="7">
        <f t="shared" si="0"/>
        <v>60</v>
      </c>
      <c r="CC14" s="1">
        <v>11</v>
      </c>
      <c r="CD14" s="1" t="s">
        <v>1048</v>
      </c>
      <c r="CE14" s="2">
        <f>(3/4)/(4/3)</f>
        <v>0.5625</v>
      </c>
      <c r="CG14" s="1">
        <v>11</v>
      </c>
      <c r="CH14" s="1" t="s">
        <v>1049</v>
      </c>
      <c r="CI14" s="2">
        <f>(11/12)/44</f>
        <v>2.0833333333333332E-2</v>
      </c>
      <c r="CK14" s="1">
        <v>11</v>
      </c>
      <c r="CL14" s="1" t="s">
        <v>1050</v>
      </c>
      <c r="CM14" s="2">
        <f>(1.2962962962963)/(1.11111111111111)</f>
        <v>1.1666666666666712</v>
      </c>
      <c r="CO14" s="1">
        <v>11</v>
      </c>
      <c r="CP14" s="1" t="s">
        <v>1051</v>
      </c>
      <c r="CQ14" s="2">
        <f>(1-1/3)/(1-1/5)</f>
        <v>0.83333333333333337</v>
      </c>
    </row>
    <row r="15" spans="1:95">
      <c r="A15" s="1">
        <v>12</v>
      </c>
      <c r="B15" s="1" t="s">
        <v>1052</v>
      </c>
      <c r="C15" s="2">
        <f>18/53+32/53+40/53+1/53+16/53</f>
        <v>2.0188679245283021</v>
      </c>
      <c r="E15" s="1">
        <v>12</v>
      </c>
      <c r="F15" s="1" t="s">
        <v>1053</v>
      </c>
      <c r="G15" s="2">
        <f>1/12+1/16+1/18</f>
        <v>0.20138888888888887</v>
      </c>
      <c r="I15" s="1">
        <v>12</v>
      </c>
      <c r="J15" s="1" t="s">
        <v>1054</v>
      </c>
      <c r="K15" s="2">
        <f>8.11111111111111+10.7777777777778+16.1111111111111</f>
        <v>35.000000000000014</v>
      </c>
      <c r="M15" s="1">
        <v>12</v>
      </c>
      <c r="N15" s="1" t="s">
        <v>1055</v>
      </c>
      <c r="O15" s="2">
        <f>(3/80+5/40)+(5/4+1/8)</f>
        <v>1.5375000000000001</v>
      </c>
      <c r="Q15" s="1">
        <v>12</v>
      </c>
      <c r="R15" s="1" t="s">
        <v>1056</v>
      </c>
      <c r="S15" s="2">
        <f>35/84-19/84-8/84</f>
        <v>9.5238095238095261E-2</v>
      </c>
      <c r="U15" s="1">
        <v>12</v>
      </c>
      <c r="V15" s="1" t="s">
        <v>1057</v>
      </c>
      <c r="W15" s="2">
        <f>11/150-2/175</f>
        <v>6.1904761904761907E-2</v>
      </c>
      <c r="Y15" s="1">
        <v>12</v>
      </c>
      <c r="Z15" s="6" t="s">
        <v>1058</v>
      </c>
      <c r="AA15" s="2">
        <f>215-3/119</f>
        <v>214.9747899159664</v>
      </c>
      <c r="AC15" s="1">
        <v>12</v>
      </c>
      <c r="AD15" s="1" t="s">
        <v>1059</v>
      </c>
      <c r="AE15" s="2">
        <f>8.125-2.75</f>
        <v>5.375</v>
      </c>
      <c r="AG15" s="1">
        <v>12</v>
      </c>
      <c r="AH15" s="6" t="s">
        <v>1060</v>
      </c>
      <c r="AI15" s="2">
        <f>60-36.9111111111111</f>
        <v>23.088888888888903</v>
      </c>
      <c r="AO15" s="1">
        <v>12</v>
      </c>
      <c r="AP15" s="1" t="s">
        <v>1061</v>
      </c>
      <c r="AQ15" s="2">
        <f>1/6-1/7+1/12-1/14</f>
        <v>3.5714285714285712E-2</v>
      </c>
      <c r="AS15" s="1">
        <v>12</v>
      </c>
      <c r="AT15" s="1" t="s">
        <v>1062</v>
      </c>
      <c r="AU15" s="2">
        <f>9.375-4.025+6.01666666666667</f>
        <v>11.366666666666671</v>
      </c>
      <c r="AW15" s="1">
        <v>12</v>
      </c>
      <c r="AX15" s="1" t="s">
        <v>1063</v>
      </c>
      <c r="AY15" s="2">
        <f>500-(1/8+9/5-3/40)</f>
        <v>498.15</v>
      </c>
      <c r="BA15" s="1">
        <v>12</v>
      </c>
      <c r="BB15" s="1" t="s">
        <v>1064</v>
      </c>
      <c r="BC15" s="2">
        <f>7/19*19/13*26/21</f>
        <v>0.66666666666666663</v>
      </c>
      <c r="BE15" s="1">
        <v>12</v>
      </c>
      <c r="BF15" s="1" t="s">
        <v>1065</v>
      </c>
      <c r="BG15" s="2">
        <f>10.1*3.00990099009901*1.01973684210526</f>
        <v>30.999999999999901</v>
      </c>
      <c r="BI15" s="1">
        <v>12</v>
      </c>
      <c r="BJ15" s="1" t="s">
        <v>1066</v>
      </c>
      <c r="BK15" s="2">
        <f>7.66666666666667*11/46*1/121*66</f>
        <v>1.0000000000000004</v>
      </c>
      <c r="BM15" s="1">
        <v>12</v>
      </c>
      <c r="BN15" s="1" t="s">
        <v>1067</v>
      </c>
      <c r="BO15" s="2">
        <f>(1.75-1/8-1/16)*2/3</f>
        <v>1.0416666666666667</v>
      </c>
      <c r="BQ15" s="1">
        <v>12</v>
      </c>
      <c r="BR15" s="1" t="s">
        <v>1068</v>
      </c>
      <c r="BS15" s="2">
        <f>18/41*164</f>
        <v>72</v>
      </c>
      <c r="BT15" s="2"/>
      <c r="BU15" s="7">
        <v>12</v>
      </c>
      <c r="BV15" s="8">
        <v>0.25</v>
      </c>
      <c r="BW15" s="8">
        <v>0.83333333333333337</v>
      </c>
      <c r="BX15" s="9">
        <v>0.125</v>
      </c>
      <c r="BY15" s="7">
        <v>1</v>
      </c>
      <c r="BZ15" s="7">
        <v>16</v>
      </c>
      <c r="CA15" s="2">
        <f t="shared" si="0"/>
        <v>0.41666666666666669</v>
      </c>
      <c r="CC15" s="1">
        <v>12</v>
      </c>
      <c r="CD15" s="1" t="s">
        <v>1069</v>
      </c>
      <c r="CE15" s="2">
        <f>(21/30)/(6/7)</f>
        <v>0.81666666666666665</v>
      </c>
      <c r="CG15" s="1">
        <v>12</v>
      </c>
      <c r="CH15" s="1" t="s">
        <v>1070</v>
      </c>
      <c r="CI15" s="2">
        <f>(13/50)/39</f>
        <v>6.6666666666666671E-3</v>
      </c>
      <c r="CK15" s="1">
        <v>12</v>
      </c>
      <c r="CL15" s="1" t="s">
        <v>1071</v>
      </c>
      <c r="CM15" s="2">
        <f>(8.75)/(13.3333333333333)</f>
        <v>0.65625000000000167</v>
      </c>
      <c r="CO15" s="1">
        <v>12</v>
      </c>
      <c r="CP15" s="1" t="s">
        <v>1072</v>
      </c>
      <c r="CQ15" s="2">
        <f>(2+7/8)/(2-1/9)</f>
        <v>1.5220588235294119</v>
      </c>
    </row>
    <row r="16" spans="1:95">
      <c r="A16" s="1">
        <v>13</v>
      </c>
      <c r="B16" s="1" t="s">
        <v>1073</v>
      </c>
      <c r="C16" s="2">
        <f>41/79+37/79+25/79+71/79+63/79</f>
        <v>3</v>
      </c>
      <c r="E16" s="1">
        <v>13</v>
      </c>
      <c r="F16" s="1" t="s">
        <v>1074</v>
      </c>
      <c r="G16" s="2">
        <f>7/50+11/40+13/60</f>
        <v>0.63166666666666671</v>
      </c>
      <c r="I16" s="1">
        <v>13</v>
      </c>
      <c r="J16" s="1" t="s">
        <v>1075</v>
      </c>
      <c r="K16" s="2">
        <f>1.5+2.33333333333333+1.16666666666667</f>
        <v>5</v>
      </c>
      <c r="M16" s="1">
        <v>13</v>
      </c>
      <c r="N16" s="1" t="s">
        <v>1076</v>
      </c>
      <c r="O16" s="2">
        <f>(3+2.6)+(4.33333333333333+3/20)</f>
        <v>10.08333333333333</v>
      </c>
      <c r="Q16" s="1">
        <v>13</v>
      </c>
      <c r="R16" s="1" t="s">
        <v>1077</v>
      </c>
      <c r="S16" s="2">
        <f>7/2-1/2-3/2-1/2</f>
        <v>1</v>
      </c>
      <c r="U16" s="1">
        <v>13</v>
      </c>
      <c r="V16" s="1" t="s">
        <v>1078</v>
      </c>
      <c r="W16" s="2">
        <f>93/120-83/150</f>
        <v>0.22166666666666668</v>
      </c>
      <c r="Y16" s="1">
        <v>13</v>
      </c>
      <c r="Z16" s="6" t="s">
        <v>1079</v>
      </c>
      <c r="AA16" s="2">
        <f>316-11/415</f>
        <v>315.97349397590364</v>
      </c>
      <c r="AC16" s="1">
        <v>13</v>
      </c>
      <c r="AD16" s="1" t="s">
        <v>1080</v>
      </c>
      <c r="AE16" s="2">
        <f>25.14-14.24</f>
        <v>10.9</v>
      </c>
      <c r="AG16" s="1">
        <v>13</v>
      </c>
      <c r="AH16" s="6" t="s">
        <v>1081</v>
      </c>
      <c r="AI16" s="2">
        <f>70-46.9203539823009</f>
        <v>23.079646017699098</v>
      </c>
      <c r="AO16" s="1">
        <v>13</v>
      </c>
      <c r="AP16" s="1" t="s">
        <v>1082</v>
      </c>
      <c r="AQ16" s="2">
        <f>1/9+1/15-1/6+1/30</f>
        <v>4.4444444444444432E-2</v>
      </c>
      <c r="AS16" s="1">
        <v>13</v>
      </c>
      <c r="AT16" s="1" t="s">
        <v>1083</v>
      </c>
      <c r="AU16" s="2">
        <f>14.28-6.06+8.275</f>
        <v>16.494999999999997</v>
      </c>
      <c r="AW16" s="1">
        <v>13</v>
      </c>
      <c r="AX16" s="1" t="s">
        <v>1084</v>
      </c>
      <c r="AY16" s="2">
        <f>16.2-(1/5+1/10-1/20)</f>
        <v>15.95</v>
      </c>
      <c r="BA16" s="1">
        <v>13</v>
      </c>
      <c r="BB16" s="1" t="s">
        <v>1085</v>
      </c>
      <c r="BC16" s="2">
        <f>23/34*17/28*7/69</f>
        <v>4.1666666666666664E-2</v>
      </c>
      <c r="BE16" s="1">
        <v>13</v>
      </c>
      <c r="BF16" s="1" t="s">
        <v>1086</v>
      </c>
      <c r="BG16" s="2">
        <f>1.2*1.11111111111111*1.125*1.6</f>
        <v>2.3999999999999977</v>
      </c>
      <c r="BI16" s="1">
        <v>13</v>
      </c>
      <c r="BJ16" s="1" t="s">
        <v>1087</v>
      </c>
      <c r="BK16" s="2">
        <f>19*5.21428571428571*2/73*7/19</f>
        <v>0.99999999999999911</v>
      </c>
      <c r="BM16" s="1">
        <v>13</v>
      </c>
      <c r="BN16" s="1" t="s">
        <v>1088</v>
      </c>
      <c r="BO16" s="2">
        <f>(7.22222222222222+5.16666666666667-12.2777777777778)*27</f>
        <v>2.9999999999994138</v>
      </c>
      <c r="BQ16" s="1">
        <v>13</v>
      </c>
      <c r="BR16" s="1" t="s">
        <v>1089</v>
      </c>
      <c r="BS16" s="2">
        <f>3/8*3.33333333333333</f>
        <v>1.2499999999999987</v>
      </c>
      <c r="BT16" s="2"/>
      <c r="BU16" s="7">
        <v>13</v>
      </c>
      <c r="BV16" s="8">
        <v>0.55555555555555558</v>
      </c>
      <c r="BW16" s="8">
        <v>0.2</v>
      </c>
      <c r="BX16" s="9">
        <v>0.7142857142857143</v>
      </c>
      <c r="BY16" s="7">
        <v>2</v>
      </c>
      <c r="BZ16" s="7">
        <v>50</v>
      </c>
      <c r="CA16" s="2">
        <f t="shared" si="0"/>
        <v>7.9365079365079376</v>
      </c>
      <c r="CC16" s="1">
        <v>13</v>
      </c>
      <c r="CD16" s="1" t="s">
        <v>1090</v>
      </c>
      <c r="CE16" s="2">
        <f>(25/32)/(5/8)</f>
        <v>1.25</v>
      </c>
      <c r="CG16" s="1">
        <v>13</v>
      </c>
      <c r="CH16" s="1" t="s">
        <v>1091</v>
      </c>
      <c r="CI16" s="2">
        <f>(50/73)/14</f>
        <v>4.8923679060665359E-2</v>
      </c>
      <c r="CK16" s="1">
        <v>13</v>
      </c>
      <c r="CL16" s="1" t="s">
        <v>1092</v>
      </c>
      <c r="CM16" s="2">
        <f>(6.42857142857143)/(1.07142857142857)</f>
        <v>6.0000000000000089</v>
      </c>
      <c r="CO16" s="1">
        <v>13</v>
      </c>
      <c r="CP16" s="1" t="s">
        <v>1093</v>
      </c>
      <c r="CQ16" s="2">
        <f>(7+3.125)/(14+6.25)</f>
        <v>0.5</v>
      </c>
    </row>
    <row r="17" spans="1:95">
      <c r="A17" s="1">
        <v>14</v>
      </c>
      <c r="B17" s="1" t="s">
        <v>1094</v>
      </c>
      <c r="C17" s="2">
        <f>17/84+3/84+5/84+11/84+6/84</f>
        <v>0.5</v>
      </c>
      <c r="E17" s="1">
        <v>14</v>
      </c>
      <c r="F17" s="1" t="s">
        <v>1095</v>
      </c>
      <c r="G17" s="2">
        <f>8/60+13/90+7/120</f>
        <v>0.33611111111111114</v>
      </c>
      <c r="I17" s="1">
        <v>14</v>
      </c>
      <c r="J17" s="1" t="s">
        <v>1096</v>
      </c>
      <c r="K17" s="2">
        <f>5.75+6.33333333333333+8.08333333333333</f>
        <v>20.166666666666661</v>
      </c>
      <c r="M17" s="1">
        <v>14</v>
      </c>
      <c r="N17" s="1" t="s">
        <v>1097</v>
      </c>
      <c r="O17" s="2">
        <f>(7/8+5/32)+(6.16666666666667+7.25)</f>
        <v>14.44791666666667</v>
      </c>
      <c r="Q17" s="1">
        <v>14</v>
      </c>
      <c r="R17" s="1" t="s">
        <v>1098</v>
      </c>
      <c r="S17" s="2">
        <f>13/8-3/8-5/8-1/8</f>
        <v>0.5</v>
      </c>
      <c r="U17" s="1">
        <v>14</v>
      </c>
      <c r="V17" s="1" t="s">
        <v>1099</v>
      </c>
      <c r="W17" s="2">
        <f>101/114-97/171</f>
        <v>0.31871345029239762</v>
      </c>
      <c r="Y17" s="1">
        <v>14</v>
      </c>
      <c r="Z17" s="6" t="s">
        <v>1100</v>
      </c>
      <c r="AA17" s="2">
        <f>819-7/735</f>
        <v>818.99047619047622</v>
      </c>
      <c r="AC17" s="1">
        <v>14</v>
      </c>
      <c r="AD17" s="1" t="s">
        <v>1101</v>
      </c>
      <c r="AE17" s="2">
        <f>80.375-53.5555555555556</f>
        <v>26.8194444444444</v>
      </c>
      <c r="AG17" s="1">
        <v>14</v>
      </c>
      <c r="AH17" s="6" t="s">
        <v>1102</v>
      </c>
      <c r="AI17" s="2">
        <f>95-51.8338870431894</f>
        <v>43.166112956810601</v>
      </c>
      <c r="AO17" s="1">
        <v>14</v>
      </c>
      <c r="AP17" s="1" t="s">
        <v>1103</v>
      </c>
      <c r="AQ17" s="2">
        <f>2/40+7/80-11/36+13/72</f>
        <v>1.2499999999999983E-2</v>
      </c>
      <c r="AS17" s="1">
        <v>14</v>
      </c>
      <c r="AT17" s="1" t="s">
        <v>1104</v>
      </c>
      <c r="AU17" s="2">
        <f>16.3571428571429+7.14285714285714-5.05357142857143</f>
        <v>18.446428571428608</v>
      </c>
      <c r="AW17" s="1">
        <v>14</v>
      </c>
      <c r="AX17" s="1" t="s">
        <v>1105</v>
      </c>
      <c r="AY17" s="2">
        <f>7.4+(3.5-1.33333333333333+1/6)</f>
        <v>9.7333333333333378</v>
      </c>
      <c r="BA17" s="1">
        <v>14</v>
      </c>
      <c r="BB17" s="1" t="s">
        <v>1106</v>
      </c>
      <c r="BC17" s="2">
        <f>90/51*41/108*34/82</f>
        <v>0.27777777777777773</v>
      </c>
      <c r="BE17" s="1">
        <v>14</v>
      </c>
      <c r="BF17" s="1" t="s">
        <v>1107</v>
      </c>
      <c r="BG17" s="2">
        <f>2.14285714285714*2.8*3.33333333333333*4.5</f>
        <v>89.999999999999787</v>
      </c>
      <c r="BI17" s="1">
        <v>14</v>
      </c>
      <c r="BJ17" s="1" t="s">
        <v>1108</v>
      </c>
      <c r="BK17" s="2">
        <f>36*1/84*14/9*1/6</f>
        <v>0.1111111111111111</v>
      </c>
      <c r="BM17" s="1">
        <v>14</v>
      </c>
      <c r="BN17" s="1" t="s">
        <v>1109</v>
      </c>
      <c r="BO17" s="6" t="s">
        <v>1110</v>
      </c>
      <c r="BQ17" s="1">
        <v>14</v>
      </c>
      <c r="BR17" s="1" t="s">
        <v>1111</v>
      </c>
      <c r="BS17" s="2">
        <f>5/9*2.25</f>
        <v>1.25</v>
      </c>
      <c r="BT17" s="2"/>
      <c r="BU17" s="7">
        <v>14</v>
      </c>
      <c r="BV17" s="8">
        <v>0.44444444444444442</v>
      </c>
      <c r="BW17" s="8">
        <v>0.83333333333333337</v>
      </c>
      <c r="BX17" s="9">
        <v>0.5</v>
      </c>
      <c r="BY17" s="7">
        <v>3</v>
      </c>
      <c r="BZ17" s="7">
        <v>200</v>
      </c>
      <c r="CA17" s="2">
        <f t="shared" si="0"/>
        <v>111.11111111111111</v>
      </c>
      <c r="CC17" s="1">
        <v>14</v>
      </c>
      <c r="CD17" s="1" t="s">
        <v>1112</v>
      </c>
      <c r="CE17" s="2">
        <f>(30/41)/(3/82)</f>
        <v>20</v>
      </c>
      <c r="CG17" s="1">
        <v>14</v>
      </c>
      <c r="CH17" s="1" t="s">
        <v>1113</v>
      </c>
      <c r="CI17" s="2">
        <f>(81/97)/18</f>
        <v>4.6391752577319589E-2</v>
      </c>
      <c r="CK17" s="1">
        <v>14</v>
      </c>
      <c r="CL17" s="1" t="s">
        <v>1114</v>
      </c>
      <c r="CM17" s="2">
        <f>(5.55555555555556)/(3.63636363636364)</f>
        <v>1.5277777777777775</v>
      </c>
      <c r="CO17" s="1">
        <v>14</v>
      </c>
      <c r="CP17" s="1" t="s">
        <v>1115</v>
      </c>
      <c r="CQ17" s="2">
        <f>(60-1/8)/(30-1/16)</f>
        <v>2</v>
      </c>
    </row>
    <row r="18" spans="1:95">
      <c r="E18" s="1">
        <v>15</v>
      </c>
      <c r="F18" s="1" t="s">
        <v>1116</v>
      </c>
      <c r="G18" s="2">
        <f>5/14+7/70+3/98</f>
        <v>0.48775510204081635</v>
      </c>
      <c r="I18" s="1">
        <v>15</v>
      </c>
      <c r="J18" s="1" t="s">
        <v>1117</v>
      </c>
      <c r="K18" s="2">
        <f>2.2+4.1+8.12</f>
        <v>14.419999999999998</v>
      </c>
      <c r="M18" s="1">
        <v>15</v>
      </c>
      <c r="N18" s="1" t="s">
        <v>1118</v>
      </c>
      <c r="O18" s="2">
        <f>(9+1/18)+(7/24+6)</f>
        <v>15.347222222222221</v>
      </c>
      <c r="Q18" s="1">
        <v>15</v>
      </c>
      <c r="R18" s="1" t="s">
        <v>1119</v>
      </c>
      <c r="S18" s="2">
        <f>19/21-2/21-4/21-6/21</f>
        <v>0.33333333333333337</v>
      </c>
      <c r="U18" s="1">
        <v>15</v>
      </c>
      <c r="V18" s="1" t="s">
        <v>1120</v>
      </c>
      <c r="W18" s="2">
        <f>57/160-17/224</f>
        <v>0.28035714285714286</v>
      </c>
      <c r="AC18" s="1">
        <v>15</v>
      </c>
      <c r="AD18" s="1" t="s">
        <v>1121</v>
      </c>
      <c r="AE18" s="2">
        <f>115.185185185185-101.777777777778</f>
        <v>13.407407407407007</v>
      </c>
      <c r="AG18" s="1">
        <v>15</v>
      </c>
      <c r="AH18" s="6" t="s">
        <v>1122</v>
      </c>
      <c r="AI18" s="2">
        <f>104-79.9318885448916</f>
        <v>24.068111455108394</v>
      </c>
      <c r="AO18" s="1">
        <v>15</v>
      </c>
      <c r="AP18" s="1" t="s">
        <v>1123</v>
      </c>
      <c r="AQ18" s="2">
        <f>1/50-2/75+7/150-1/180</f>
        <v>3.4444444444444444E-2</v>
      </c>
      <c r="AS18" s="1">
        <v>15</v>
      </c>
      <c r="AT18" s="1" t="s">
        <v>1124</v>
      </c>
      <c r="AU18" s="2">
        <f>4.33333333333333-2+3-1/9</f>
        <v>5.2222222222222197</v>
      </c>
      <c r="AW18" s="1">
        <v>15</v>
      </c>
      <c r="AX18" s="1" t="s">
        <v>1125</v>
      </c>
      <c r="AY18" s="2">
        <f>1/8+(4.06666666666667-1/60+3/80)</f>
        <v>4.212500000000003</v>
      </c>
      <c r="BA18" s="1">
        <v>15</v>
      </c>
      <c r="BB18" s="1" t="s">
        <v>1126</v>
      </c>
      <c r="BC18" s="2">
        <f>2/3*6/5*10/9*1/8</f>
        <v>0.1111111111111111</v>
      </c>
      <c r="BE18" s="1">
        <v>15</v>
      </c>
      <c r="BF18" s="1" t="s">
        <v>1127</v>
      </c>
      <c r="BG18" s="2">
        <f>3.25*1.33333333333333*1.42307692307692*1.02702702702703</f>
        <v>6.3333333333333224</v>
      </c>
      <c r="BI18" s="1">
        <v>15</v>
      </c>
      <c r="BJ18" s="1" t="s">
        <v>1128</v>
      </c>
      <c r="BK18" s="2">
        <f>5.125*1/82*6.33333333333333*48</f>
        <v>18.999999999999993</v>
      </c>
      <c r="BM18" s="1">
        <v>15</v>
      </c>
      <c r="BN18" s="1" t="s">
        <v>1129</v>
      </c>
      <c r="BO18" s="2">
        <f>(2+1/4)*(6-1/30)</f>
        <v>13.425000000000001</v>
      </c>
      <c r="BQ18" s="1">
        <v>15</v>
      </c>
      <c r="BR18" s="1" t="s">
        <v>1130</v>
      </c>
      <c r="BS18" s="2">
        <f>7/10*9.14285714285714</f>
        <v>6.3999999999999977</v>
      </c>
      <c r="BT18" s="2"/>
      <c r="BU18" s="7">
        <v>15</v>
      </c>
      <c r="BV18" s="8">
        <v>0.75</v>
      </c>
      <c r="BW18" s="8">
        <v>0.3</v>
      </c>
      <c r="BX18" s="8">
        <v>0.58333333333333337</v>
      </c>
      <c r="BY18" s="9">
        <v>0.2</v>
      </c>
      <c r="BZ18" s="9">
        <v>5.333333333333333</v>
      </c>
      <c r="CA18" s="2">
        <f t="shared" si="0"/>
        <v>0.14000000000000001</v>
      </c>
      <c r="CC18" s="1">
        <v>15</v>
      </c>
      <c r="CD18" s="1" t="s">
        <v>1131</v>
      </c>
      <c r="CE18" s="2">
        <f>(50/61)/(25/183)</f>
        <v>6</v>
      </c>
      <c r="CG18" s="1">
        <v>15</v>
      </c>
      <c r="CH18" s="1" t="s">
        <v>1132</v>
      </c>
      <c r="CI18" s="2">
        <f>(16/41)/16</f>
        <v>2.4390243902439025E-2</v>
      </c>
      <c r="CK18" s="1">
        <v>15</v>
      </c>
      <c r="CL18" s="1" t="s">
        <v>1133</v>
      </c>
      <c r="CM18" s="2">
        <f>(5.54545454545454)/(2.59090909090909)</f>
        <v>2.1403508771929811</v>
      </c>
      <c r="CO18" s="1">
        <v>15</v>
      </c>
      <c r="CP18" s="1" t="s">
        <v>1134</v>
      </c>
      <c r="CQ18" s="2">
        <f>(5/8*10/50)/(10.0833333333333)</f>
        <v>1.2396694214876073E-2</v>
      </c>
    </row>
    <row r="19" spans="1:95">
      <c r="E19" s="1">
        <v>16</v>
      </c>
      <c r="F19" s="1" t="s">
        <v>1135</v>
      </c>
      <c r="G19" s="6" t="s">
        <v>1136</v>
      </c>
      <c r="I19" s="1">
        <v>16</v>
      </c>
      <c r="J19" s="1" t="s">
        <v>1137</v>
      </c>
      <c r="K19" s="2">
        <f>3.75+5.55555555555556+7.08333333333333</f>
        <v>16.388888888888893</v>
      </c>
      <c r="M19" s="1">
        <v>16</v>
      </c>
      <c r="N19" s="1" t="s">
        <v>1138</v>
      </c>
      <c r="O19" s="2">
        <f>(7.6+4.08333333333333+ 1.04166666666667)+(6+1/18)</f>
        <v>18.780555555555555</v>
      </c>
      <c r="S19" s="2"/>
      <c r="U19" s="1">
        <v>16</v>
      </c>
      <c r="V19" s="1" t="s">
        <v>1139</v>
      </c>
      <c r="W19" s="2">
        <f>1/2-1/8-1/40</f>
        <v>0.35</v>
      </c>
      <c r="AC19" s="1">
        <v>16</v>
      </c>
      <c r="AD19" s="1" t="s">
        <v>1140</v>
      </c>
      <c r="AE19" s="2">
        <f>182.144444444444-116.275</f>
        <v>65.869444444443985</v>
      </c>
      <c r="AO19" s="1">
        <v>16</v>
      </c>
      <c r="AP19" s="1" t="s">
        <v>1141</v>
      </c>
      <c r="AQ19" s="2">
        <f>7/20+11/320+1/160-3/80</f>
        <v>0.35312499999999997</v>
      </c>
      <c r="AS19" s="1">
        <v>16</v>
      </c>
      <c r="AT19" s="1" t="s">
        <v>1142</v>
      </c>
      <c r="AU19" s="2">
        <f>9+1/4-1/2+3</f>
        <v>11.75</v>
      </c>
      <c r="AW19" s="1">
        <v>16</v>
      </c>
      <c r="AX19" s="1" t="s">
        <v>1143</v>
      </c>
      <c r="AY19" s="2">
        <f>6.75-(2.11111111111111-1/18+1)</f>
        <v>3.6944444444444455</v>
      </c>
      <c r="BA19" s="1">
        <v>16</v>
      </c>
      <c r="BB19" s="1" t="s">
        <v>1144</v>
      </c>
      <c r="BC19" s="2">
        <f>7/8*8/11*22/14*1/4</f>
        <v>0.25</v>
      </c>
      <c r="BE19" s="1">
        <v>16</v>
      </c>
      <c r="BF19" s="1" t="s">
        <v>1145</v>
      </c>
      <c r="BG19" s="2">
        <f>6.33333333333333*2.25*3.2*2.05263157894737</f>
        <v>93.600000000000023</v>
      </c>
      <c r="BI19" s="1">
        <v>16</v>
      </c>
      <c r="BJ19" s="1" t="s">
        <v>1146</v>
      </c>
      <c r="BK19" s="2">
        <f>9.33333333333333*7.71428571428571*20.3333333333333*1/1708</f>
        <v>0.85714285714285499</v>
      </c>
      <c r="BM19" s="1">
        <v>16</v>
      </c>
      <c r="BN19" s="1" t="s">
        <v>1147</v>
      </c>
      <c r="BO19" s="2">
        <f>(2-1/4)*(6+1/30)</f>
        <v>10.558333333333334</v>
      </c>
      <c r="BQ19" s="1">
        <v>16</v>
      </c>
      <c r="BR19" s="1" t="s">
        <v>1148</v>
      </c>
      <c r="BS19" s="2">
        <f>10/11* 2.44444444444444</f>
        <v>2.2222222222222183</v>
      </c>
      <c r="BT19" s="2"/>
      <c r="BU19" s="7"/>
      <c r="BV19" s="2"/>
      <c r="BW19" s="2"/>
      <c r="BX19" s="2"/>
      <c r="BY19" s="2"/>
      <c r="BZ19" s="2"/>
      <c r="CA19" s="2"/>
      <c r="CC19" s="1">
        <v>16</v>
      </c>
      <c r="CD19" s="1" t="s">
        <v>1149</v>
      </c>
      <c r="CE19" s="2">
        <f>(72/91)/(6/13)</f>
        <v>1.7142857142857142</v>
      </c>
      <c r="CK19" s="1">
        <v>16</v>
      </c>
      <c r="CL19" s="1" t="s">
        <v>1150</v>
      </c>
      <c r="CM19" s="2">
        <f>(3.38709677419355)/(2.41935483870968)</f>
        <v>1.399999999999999</v>
      </c>
      <c r="CO19" s="1">
        <v>16</v>
      </c>
      <c r="CP19" s="1" t="s">
        <v>1151</v>
      </c>
      <c r="CQ19" s="2">
        <f>(10/(5/6))/(10.28125)</f>
        <v>1.1671732522796352</v>
      </c>
    </row>
    <row r="20" spans="1:95">
      <c r="E20" s="1">
        <v>17</v>
      </c>
      <c r="F20" s="1" t="s">
        <v>1152</v>
      </c>
      <c r="G20" s="2">
        <f>2/3+5/7+2/21+4/63</f>
        <v>1.5396825396825398</v>
      </c>
      <c r="I20" s="1">
        <v>17</v>
      </c>
      <c r="J20" s="1" t="s">
        <v>1153</v>
      </c>
      <c r="K20" s="2">
        <f>4.16666666666667+3.1+2.06666666666667</f>
        <v>9.3333333333333393</v>
      </c>
      <c r="M20" s="1">
        <v>17</v>
      </c>
      <c r="N20" s="1" t="s">
        <v>1154</v>
      </c>
      <c r="O20" s="2">
        <f>(1/28+7/14+5/56)+(1+1/112)</f>
        <v>1.6339285714285714</v>
      </c>
      <c r="U20" s="1">
        <v>17</v>
      </c>
      <c r="V20" s="1" t="s">
        <v>1155</v>
      </c>
      <c r="W20" s="2">
        <f>3/15-1/45-1/90</f>
        <v>0.16666666666666669</v>
      </c>
      <c r="AC20" s="1">
        <v>17</v>
      </c>
      <c r="AD20" s="1" t="s">
        <v>1156</v>
      </c>
      <c r="AE20" s="2">
        <f>215.2875-183.14</f>
        <v>32.147500000000008</v>
      </c>
      <c r="AO20" s="1">
        <v>17</v>
      </c>
      <c r="AP20" s="1" t="s">
        <v>1157</v>
      </c>
      <c r="AQ20" s="2">
        <f>13/2-1/32-1/64-1/128</f>
        <v>6.4453125</v>
      </c>
      <c r="AS20" s="1">
        <v>17</v>
      </c>
      <c r="AT20" s="1" t="s">
        <v>1158</v>
      </c>
      <c r="AU20" s="2">
        <f>6+5.33333333333333-4.16666666666667-1.5</f>
        <v>5.6666666666666607</v>
      </c>
      <c r="AW20" s="1">
        <v>17</v>
      </c>
      <c r="AX20" s="1" t="s">
        <v>1159</v>
      </c>
      <c r="AY20" s="2">
        <f>(1/2+1/3)-5/6</f>
        <v>0</v>
      </c>
      <c r="BA20" s="1">
        <v>17</v>
      </c>
      <c r="BB20" s="1" t="s">
        <v>1160</v>
      </c>
      <c r="BC20" s="2">
        <f>5/6*7/10*3/14*1/5</f>
        <v>2.5000000000000001E-2</v>
      </c>
      <c r="BE20" s="1">
        <v>17</v>
      </c>
      <c r="BF20" s="1" t="s">
        <v>1161</v>
      </c>
      <c r="BG20" s="2">
        <f>1.28571428571429*1.55555555555556*2.16666666666667*2.57142857142857</f>
        <v>11.142857142857222</v>
      </c>
      <c r="BI20" s="1">
        <v>17</v>
      </c>
      <c r="BJ20" s="1" t="s">
        <v>1162</v>
      </c>
      <c r="BK20" s="2">
        <f>11/36*18/121*2.6*1/169*715</f>
        <v>0.50000000000000011</v>
      </c>
      <c r="BM20" s="1">
        <v>17</v>
      </c>
      <c r="BN20" s="1" t="s">
        <v>1163</v>
      </c>
      <c r="BO20" s="2">
        <f>(2/3-1/4)*(2/3+3/4)</f>
        <v>0.59027777777777768</v>
      </c>
      <c r="BQ20" s="1">
        <v>17</v>
      </c>
      <c r="BR20" s="1" t="s">
        <v>1164</v>
      </c>
      <c r="BS20" s="2">
        <f>5/13*5.41666666666667</f>
        <v>2.0833333333333344</v>
      </c>
      <c r="BT20" s="2"/>
      <c r="BU20" s="7"/>
      <c r="BV20" s="2"/>
      <c r="BW20" s="2"/>
      <c r="BX20" s="2"/>
      <c r="BY20" s="2"/>
      <c r="BZ20" s="2"/>
      <c r="CA20" s="2"/>
      <c r="CC20" s="1">
        <v>17</v>
      </c>
      <c r="CD20" s="1" t="s">
        <v>1165</v>
      </c>
      <c r="CE20" s="2">
        <f>(104/105)/(75/36)</f>
        <v>0.47542857142857142</v>
      </c>
      <c r="CK20" s="1">
        <v>17</v>
      </c>
      <c r="CL20" s="1" t="s">
        <v>1166</v>
      </c>
      <c r="CM20" s="2">
        <f>(1.07339449541284)/(1.61009174311927)</f>
        <v>0.66666666666666252</v>
      </c>
      <c r="CO20" s="1">
        <v>17</v>
      </c>
      <c r="CP20" s="1" t="s">
        <v>1167</v>
      </c>
      <c r="CQ20" s="2">
        <f>(3/5*10/9*3/4)/(3.5)</f>
        <v>0.14285714285714285</v>
      </c>
    </row>
    <row r="21" spans="1:95">
      <c r="E21" s="1">
        <v>18</v>
      </c>
      <c r="F21" s="1" t="s">
        <v>1168</v>
      </c>
      <c r="G21" s="2">
        <f>3/4+5/8+2/5+3/10</f>
        <v>2.0749999999999997</v>
      </c>
      <c r="I21" s="1">
        <v>18</v>
      </c>
      <c r="J21" s="1" t="s">
        <v>1169</v>
      </c>
      <c r="K21" s="2">
        <f>1.125+5.15+6.5</f>
        <v>12.775</v>
      </c>
      <c r="M21" s="1">
        <v>18</v>
      </c>
      <c r="N21" s="1" t="s">
        <v>1170</v>
      </c>
      <c r="O21" s="2">
        <f>(6+1/32+4.2)+(1/16+2.1)</f>
        <v>12.393749999999999</v>
      </c>
      <c r="U21" s="1">
        <v>18</v>
      </c>
      <c r="V21" s="1" t="s">
        <v>1171</v>
      </c>
      <c r="W21" s="2">
        <f>3/2-2/121-5/11</f>
        <v>1.0289256198347108</v>
      </c>
      <c r="AC21" s="1">
        <v>18</v>
      </c>
      <c r="AD21" s="1" t="s">
        <v>1172</v>
      </c>
      <c r="AE21" s="2">
        <f>312.122222222222-219.138888888889</f>
        <v>92.983333333332979</v>
      </c>
      <c r="AO21" s="1">
        <v>18</v>
      </c>
      <c r="AP21" s="1" t="s">
        <v>1173</v>
      </c>
      <c r="AQ21" s="2">
        <f>15/16-1/48-1/96-1/80</f>
        <v>0.89375000000000004</v>
      </c>
      <c r="AS21" s="1">
        <v>18</v>
      </c>
      <c r="AT21" s="1" t="s">
        <v>1174</v>
      </c>
      <c r="AU21" s="2">
        <f>3.2-5/8+7/40-1</f>
        <v>1.75</v>
      </c>
      <c r="AW21" s="1">
        <v>18</v>
      </c>
      <c r="AX21" s="1" t="s">
        <v>1175</v>
      </c>
      <c r="AY21" s="2">
        <f>(2/3+3/4+1/12)-1.5</f>
        <v>0</v>
      </c>
      <c r="BA21" s="1">
        <v>18</v>
      </c>
      <c r="BB21" s="1" t="s">
        <v>1176</v>
      </c>
      <c r="BC21" s="2">
        <f>3/5*17/19*5/34*38/75</f>
        <v>0.04</v>
      </c>
      <c r="BE21" s="1">
        <v>18</v>
      </c>
      <c r="BF21" s="1" t="s">
        <v>1177</v>
      </c>
      <c r="BG21" s="2">
        <f>8.4*2.57142857142857*7.11111111111111*2.7</f>
        <v>414.71999999999969</v>
      </c>
      <c r="BI21" s="1">
        <v>18</v>
      </c>
      <c r="BJ21" s="1" t="s">
        <v>1178</v>
      </c>
      <c r="BK21" s="2">
        <f>7.22222222222222*18*5/13*6.33333333333333*1/20</f>
        <v>15.83333333333332</v>
      </c>
      <c r="BM21" s="1">
        <v>18</v>
      </c>
      <c r="BN21" s="1" t="s">
        <v>1179</v>
      </c>
      <c r="BO21" s="2">
        <f>(7.4+5.16666666666667)*(28.25+1.75)</f>
        <v>377.00000000000011</v>
      </c>
      <c r="BQ21" s="1">
        <v>18</v>
      </c>
      <c r="BR21" s="1" t="s">
        <v>1180</v>
      </c>
      <c r="BS21" s="2">
        <f>7/29*84.1</f>
        <v>20.3</v>
      </c>
      <c r="BT21" s="2"/>
      <c r="BU21" s="7"/>
      <c r="BV21" s="2"/>
      <c r="BW21" s="2"/>
      <c r="BX21" s="2"/>
      <c r="BY21" s="2"/>
      <c r="BZ21" s="2"/>
      <c r="CA21" s="2"/>
      <c r="CC21" s="1">
        <v>18</v>
      </c>
      <c r="CD21" s="1" t="s">
        <v>1181</v>
      </c>
      <c r="CE21" s="2">
        <f>(150/136)/(135/180)</f>
        <v>1.4705882352941178</v>
      </c>
      <c r="CK21" s="1">
        <v>18</v>
      </c>
      <c r="CL21" s="1" t="s">
        <v>1182</v>
      </c>
      <c r="CM21" s="2">
        <f>(4.02)/(24.12)</f>
        <v>0.16666666666666663</v>
      </c>
      <c r="CO21" s="1">
        <v>18</v>
      </c>
      <c r="CP21" s="1" t="s">
        <v>1183</v>
      </c>
      <c r="CQ21" s="2">
        <f>(1/2+3/4-1/8)/(1.6)</f>
        <v>0.703125</v>
      </c>
    </row>
    <row r="22" spans="1:95">
      <c r="E22" s="1">
        <v>19</v>
      </c>
      <c r="F22" s="1" t="s">
        <v>1184</v>
      </c>
      <c r="G22" s="2">
        <f>7/20+3/40+1/80+3/15</f>
        <v>0.63749999999999996</v>
      </c>
      <c r="I22" s="1">
        <v>19</v>
      </c>
      <c r="J22" s="1" t="s">
        <v>1185</v>
      </c>
      <c r="K22" s="2">
        <f>6.03703703703704+4.05555555555556+1.01851851851852</f>
        <v>11.111111111111118</v>
      </c>
      <c r="M22" s="1">
        <v>19</v>
      </c>
      <c r="N22" s="1" t="s">
        <v>1186</v>
      </c>
      <c r="O22" s="2">
        <f>(1/5+1/3+1/6+1/30)+(1/10+3/25+4/50)</f>
        <v>1.0333333333333332</v>
      </c>
      <c r="U22" s="1">
        <v>19</v>
      </c>
      <c r="V22" s="1" t="s">
        <v>1187</v>
      </c>
      <c r="W22" s="6" t="s">
        <v>1188</v>
      </c>
      <c r="AC22" s="1">
        <v>19</v>
      </c>
      <c r="AD22" s="1" t="s">
        <v>1189</v>
      </c>
      <c r="AE22" s="2">
        <f>301.066666666667-300.0875</f>
        <v>0.97916666666702667</v>
      </c>
      <c r="AO22" s="1">
        <v>19</v>
      </c>
      <c r="AP22" s="1" t="s">
        <v>1190</v>
      </c>
      <c r="AQ22" s="7" t="s">
        <v>1191</v>
      </c>
      <c r="AS22" s="1">
        <v>19</v>
      </c>
      <c r="AT22" s="1" t="s">
        <v>1192</v>
      </c>
      <c r="AU22" s="2">
        <f>6.05263157894737-2.07894736842105+5.01315789473684-1/2</f>
        <v>8.4868421052631593</v>
      </c>
      <c r="AW22" s="1">
        <v>19</v>
      </c>
      <c r="AX22" s="1" t="s">
        <v>1193</v>
      </c>
      <c r="AY22" s="2">
        <f>(1/2-1/3)-1/6</f>
        <v>0</v>
      </c>
      <c r="BE22" s="1">
        <v>19</v>
      </c>
      <c r="BF22" s="1" t="s">
        <v>1194</v>
      </c>
      <c r="BG22" s="2">
        <f>9.14285714285714*1.43518518518519*3.54098360655738*15.5*1.61290322580645</f>
        <v>1161.5925058548044</v>
      </c>
      <c r="BI22" s="1">
        <v>19</v>
      </c>
      <c r="BJ22" s="1" t="s">
        <v>1195</v>
      </c>
      <c r="BK22" s="2">
        <f>5.06451612903226*11/157*62/77*21*1.16666666666667</f>
        <v>7.0000000000000222</v>
      </c>
      <c r="BM22" s="1">
        <v>19</v>
      </c>
      <c r="BN22" s="1" t="s">
        <v>1196</v>
      </c>
      <c r="BO22" s="2">
        <f>(11.1-10)*(13-9.4)</f>
        <v>3.9599999999999982</v>
      </c>
      <c r="BU22" s="7"/>
      <c r="CC22" s="1">
        <v>19</v>
      </c>
      <c r="CD22" s="1" t="s">
        <v>1197</v>
      </c>
      <c r="CE22" s="2">
        <f>(216/316)/(1080/948)</f>
        <v>0.6</v>
      </c>
      <c r="CK22" s="1">
        <v>19</v>
      </c>
      <c r="CL22" s="1" t="s">
        <v>1198</v>
      </c>
      <c r="CM22" s="2">
        <f>(1.21153846153846)/(7.26923076923077)</f>
        <v>0.16666666666666644</v>
      </c>
      <c r="CO22" s="1">
        <v>19</v>
      </c>
      <c r="CP22" s="1" t="s">
        <v>1199</v>
      </c>
      <c r="CQ22" s="2">
        <f>(2.33333333333333+3.25-3.125)/(1/12)</f>
        <v>29.499999999999964</v>
      </c>
    </row>
    <row r="23" spans="1:95">
      <c r="E23" s="1">
        <v>20</v>
      </c>
      <c r="F23" s="1" t="s">
        <v>1200</v>
      </c>
      <c r="G23" s="2">
        <f>2/300+5/500+2/1000+7/250</f>
        <v>4.6666666666666662E-2</v>
      </c>
      <c r="I23" s="1">
        <v>20</v>
      </c>
      <c r="J23" s="1" t="s">
        <v>1201</v>
      </c>
      <c r="K23" s="2">
        <f>1.02380952380952+3.07142857142857+10.1309523809524</f>
        <v>14.226190476190489</v>
      </c>
      <c r="M23" s="1">
        <v>20</v>
      </c>
      <c r="N23" s="1" t="s">
        <v>1202</v>
      </c>
      <c r="O23" s="2">
        <f>(5.16666666666667+2.11111111111111+3.08333333333333)+(3/5+7/3+2/15)</f>
        <v>13.427777777777775</v>
      </c>
      <c r="U23" s="1">
        <v>20</v>
      </c>
      <c r="V23" s="1" t="s">
        <v>1203</v>
      </c>
      <c r="W23" s="2">
        <f>19/36-7/80-11/90</f>
        <v>0.31805555555555554</v>
      </c>
      <c r="AC23" s="1">
        <v>20</v>
      </c>
      <c r="AD23" s="1" t="s">
        <v>1204</v>
      </c>
      <c r="AE23" s="2">
        <f>401.21568627451-400.529411764706</f>
        <v>0.68627450980397953</v>
      </c>
      <c r="AO23" s="1">
        <v>20</v>
      </c>
      <c r="AP23" s="1" t="s">
        <v>1205</v>
      </c>
      <c r="AQ23" s="2">
        <f>8/7-2/49-3/343+5/2</f>
        <v>3.593294460641399</v>
      </c>
      <c r="AS23" s="1">
        <v>20</v>
      </c>
      <c r="AT23" s="1" t="s">
        <v>1206</v>
      </c>
      <c r="AU23" s="2">
        <f>3/8+17/16+32/6-2.6</f>
        <v>4.1708333333333325</v>
      </c>
      <c r="AW23" s="1">
        <v>20</v>
      </c>
      <c r="AX23" s="1" t="s">
        <v>1207</v>
      </c>
      <c r="AY23" s="2">
        <f>(1/2+4/3)-(1/2+1/6)</f>
        <v>1.1666666666666665</v>
      </c>
      <c r="BE23" s="1">
        <v>20</v>
      </c>
      <c r="BF23" s="1" t="s">
        <v>1208</v>
      </c>
      <c r="BG23" s="2">
        <f>2.1025641025641*2.16666666666667*1.02439024390244*4.33333333333333*2.57142857142857</f>
        <v>51.999999999999993</v>
      </c>
      <c r="BI23" s="1">
        <v>20</v>
      </c>
      <c r="BJ23" s="1" t="s">
        <v>1209</v>
      </c>
      <c r="BK23" s="2">
        <f>11/26*52*3.07692307692308*1.85714285714286*5/33</f>
        <v>19.047619047619097</v>
      </c>
      <c r="BM23" s="1">
        <v>20</v>
      </c>
      <c r="BN23" s="1" t="s">
        <v>1210</v>
      </c>
      <c r="BO23" s="2">
        <f>(7/8+2/9)*(36*1/79)</f>
        <v>0.5</v>
      </c>
      <c r="CC23" s="1">
        <v>20</v>
      </c>
      <c r="CD23" s="1" t="s">
        <v>1211</v>
      </c>
      <c r="CE23" s="2">
        <f>(51/76)/(57/1520)</f>
        <v>17.894736842105264</v>
      </c>
      <c r="CK23" s="1">
        <v>20</v>
      </c>
      <c r="CL23" s="1" t="s">
        <v>1212</v>
      </c>
      <c r="CM23" s="2">
        <f>(1.13826815642458)/(9.10614525139665)</f>
        <v>0.12499999999999985</v>
      </c>
      <c r="CO23" s="1">
        <v>20</v>
      </c>
      <c r="CP23" s="1" t="s">
        <v>1213</v>
      </c>
      <c r="CQ23" s="2">
        <f>(6-3/5+1/10)/(5.5)</f>
        <v>1</v>
      </c>
    </row>
    <row r="24" spans="1:95">
      <c r="E24" s="1">
        <v>21</v>
      </c>
      <c r="F24" s="1" t="s">
        <v>1214</v>
      </c>
      <c r="G24" s="2">
        <f>5/16+2/48+1/9+3/18</f>
        <v>0.63194444444444442</v>
      </c>
      <c r="I24" s="1">
        <v>21</v>
      </c>
      <c r="J24" s="1" t="s">
        <v>1215</v>
      </c>
      <c r="K24" s="2">
        <f>6.09090909090909+7.45454545454545+8.18181818181818+4.27272727272727</f>
        <v>25.999999999999989</v>
      </c>
      <c r="AS24" s="1">
        <v>21</v>
      </c>
      <c r="AT24" s="1" t="s">
        <v>1216</v>
      </c>
      <c r="AU24" s="2">
        <f>9-1/108-1/216-1/144</f>
        <v>8.9791666666666661</v>
      </c>
      <c r="AW24" s="1">
        <v>21</v>
      </c>
      <c r="AX24" s="1" t="s">
        <v>1217</v>
      </c>
      <c r="AY24" s="2">
        <f>(6/14+3/7)-(1/3+1/6)</f>
        <v>0.3571428571428571</v>
      </c>
      <c r="BK24" s="2"/>
      <c r="BM24" s="1">
        <v>21</v>
      </c>
      <c r="BN24" s="1" t="s">
        <v>1218</v>
      </c>
      <c r="BO24" s="2">
        <f>(11/180-1/45)*(90*1/14)</f>
        <v>0.25</v>
      </c>
      <c r="CO24" s="1">
        <v>21</v>
      </c>
      <c r="CP24" s="1" t="s">
        <v>1219</v>
      </c>
      <c r="CQ24" s="2">
        <f>((150.125)/(1/8))/(4*2.875)</f>
        <v>104.43478260869566</v>
      </c>
    </row>
    <row r="25" spans="1:95">
      <c r="E25" s="1">
        <v>22</v>
      </c>
      <c r="F25" s="1" t="s">
        <v>1220</v>
      </c>
      <c r="G25" s="2">
        <f>6/17+1/34+1/51+4/3</f>
        <v>1.7352941176470589</v>
      </c>
      <c r="I25" s="1">
        <v>22</v>
      </c>
      <c r="J25" s="1" t="s">
        <v>1221</v>
      </c>
      <c r="K25" s="2">
        <f>4.25+5.125+7.0625+1.03125</f>
        <v>17.46875</v>
      </c>
      <c r="AS25" s="1">
        <v>22</v>
      </c>
      <c r="AT25" s="1" t="s">
        <v>1222</v>
      </c>
      <c r="AU25" s="2">
        <f>5.16666666666667-2.03125+7/64-1/18</f>
        <v>3.1892361111111143</v>
      </c>
      <c r="AW25" s="1">
        <v>22</v>
      </c>
      <c r="AX25" s="1" t="s">
        <v>1223</v>
      </c>
      <c r="AY25" s="2">
        <f>(8.25+1/8-5)-3.33333333333333</f>
        <v>4.1666666666670071E-2</v>
      </c>
      <c r="BM25" s="1">
        <v>22</v>
      </c>
      <c r="BN25" s="1" t="s">
        <v>1224</v>
      </c>
      <c r="BO25" s="2">
        <f>(2-1/3-1/5)*(6-1/11)</f>
        <v>8.6666666666666679</v>
      </c>
      <c r="CO25" s="1">
        <v>22</v>
      </c>
      <c r="CP25" s="1" t="s">
        <v>1225</v>
      </c>
      <c r="CQ25" s="2">
        <f>(7/30+7/90+1/3)/(1/9)</f>
        <v>5.8</v>
      </c>
    </row>
    <row r="26" spans="1:95">
      <c r="E26" s="1">
        <v>23</v>
      </c>
      <c r="F26" s="1" t="s">
        <v>1226</v>
      </c>
      <c r="G26" s="2">
        <f>7/90+11/30+3/80+7/40</f>
        <v>0.65694444444444433</v>
      </c>
      <c r="I26" s="1">
        <v>23</v>
      </c>
      <c r="J26" s="1" t="s">
        <v>1227</v>
      </c>
      <c r="K26" s="2">
        <f>3.2+4.1+1.02+2.12</f>
        <v>10.440000000000001</v>
      </c>
      <c r="AS26" s="1">
        <v>23</v>
      </c>
      <c r="AT26" s="1" t="s">
        <v>1228</v>
      </c>
      <c r="AU26" s="6" t="s">
        <v>1229</v>
      </c>
      <c r="AW26" s="1">
        <v>23</v>
      </c>
      <c r="AX26" s="1" t="s">
        <v>1230</v>
      </c>
      <c r="AY26" s="2">
        <f>(6-1/5)-(4-1/3)</f>
        <v>2.1333333333333333</v>
      </c>
      <c r="BM26" s="1">
        <v>23</v>
      </c>
      <c r="BN26" s="1" t="s">
        <v>1231</v>
      </c>
      <c r="BO26" s="2">
        <f>(9/3-1/4-1/8-1/16)*8</f>
        <v>20.5</v>
      </c>
      <c r="CO26" s="1">
        <v>23</v>
      </c>
      <c r="CP26" s="1" t="s">
        <v>1232</v>
      </c>
      <c r="CQ26" s="2">
        <f>(1/6+1/3-1/45)/(1.01111111111111)</f>
        <v>0.47252747252747307</v>
      </c>
    </row>
    <row r="27" spans="1:95">
      <c r="E27" s="1">
        <v>24</v>
      </c>
      <c r="F27" s="1" t="s">
        <v>1233</v>
      </c>
      <c r="G27" s="2">
        <f>8/72+71/144+5/36+8/27</f>
        <v>1.0393518518518519</v>
      </c>
      <c r="I27" s="1">
        <v>24</v>
      </c>
      <c r="J27" s="1" t="s">
        <v>1234</v>
      </c>
      <c r="K27" s="2">
        <f>1.2+3.25+2.06666666666667+4.01666666666667</f>
        <v>10.53333333333334</v>
      </c>
      <c r="AS27" s="1">
        <v>24</v>
      </c>
      <c r="AT27" s="1" t="s">
        <v>1235</v>
      </c>
      <c r="AU27" s="2">
        <f>5.77777777777778-3.33333333333333-11/36+1/4</f>
        <v>2.3888888888888946</v>
      </c>
      <c r="AW27" s="1">
        <v>24</v>
      </c>
      <c r="AX27" s="1" t="s">
        <v>1236</v>
      </c>
      <c r="AY27" s="2">
        <f>(20-1/10)-(8-1/25)</f>
        <v>11.939999999999998</v>
      </c>
      <c r="BM27" s="1">
        <v>24</v>
      </c>
      <c r="BN27" s="1" t="s">
        <v>1237</v>
      </c>
      <c r="BO27" s="2">
        <f>(9.08333333333333+7/16-2.33333333333333-2)*1.01204819277108</f>
        <v>5.2499999999999778</v>
      </c>
      <c r="CO27" s="1">
        <v>24</v>
      </c>
      <c r="CP27" s="1" t="s">
        <v>1238</v>
      </c>
      <c r="CQ27" s="2">
        <f>(2*6/5)/(2+3/8)</f>
        <v>1.0105263157894737</v>
      </c>
    </row>
    <row r="28" spans="1:95">
      <c r="E28" s="1">
        <v>25</v>
      </c>
      <c r="F28" s="1" t="s">
        <v>1239</v>
      </c>
      <c r="G28" s="2">
        <f>7/39+11/26+2/3+8/9</f>
        <v>2.158119658119658</v>
      </c>
      <c r="I28" s="1">
        <v>25</v>
      </c>
      <c r="J28" s="1" t="s">
        <v>1240</v>
      </c>
      <c r="K28" s="2">
        <f>5.42857142857143+3.07142857142857+2.16666666666667+7.5</f>
        <v>18.166666666666671</v>
      </c>
      <c r="AS28" s="1">
        <v>25</v>
      </c>
      <c r="AT28" s="1" t="s">
        <v>1241</v>
      </c>
      <c r="AU28" s="2">
        <f>16.25-3.125-2.57142857142857-3/28</f>
        <v>10.446428571428573</v>
      </c>
      <c r="AW28" s="1">
        <v>25</v>
      </c>
      <c r="AX28" s="1" t="s">
        <v>1242</v>
      </c>
      <c r="AY28" s="2">
        <f>(4.5-3.25)+(6.2-5.16666666666667)</f>
        <v>2.2833333333333306</v>
      </c>
      <c r="BM28" s="1">
        <v>25</v>
      </c>
      <c r="BN28" s="1" t="s">
        <v>1243</v>
      </c>
      <c r="BO28" s="6" t="s">
        <v>1244</v>
      </c>
      <c r="CO28" s="1">
        <v>25</v>
      </c>
      <c r="CP28" s="1" t="s">
        <v>1245</v>
      </c>
      <c r="CQ28" s="2">
        <f>(5/(1/5))/(2/(1/3))</f>
        <v>4.166666666666667</v>
      </c>
    </row>
    <row r="29" spans="1:95">
      <c r="E29" s="1">
        <v>26</v>
      </c>
      <c r="F29" s="1" t="s">
        <v>1246</v>
      </c>
      <c r="G29" s="2">
        <f>1/3+1/9+1/18+7/24+11/30</f>
        <v>1.1583333333333334</v>
      </c>
      <c r="I29" s="1">
        <v>26</v>
      </c>
      <c r="J29" s="1" t="s">
        <v>1247</v>
      </c>
      <c r="K29" s="2">
        <f>1.2+4.0125+5.0625+2.025</f>
        <v>12.3</v>
      </c>
      <c r="AS29" s="1">
        <v>26</v>
      </c>
      <c r="AT29" s="1" t="s">
        <v>1248</v>
      </c>
      <c r="AU29" s="2">
        <f>50.6-6-8.02-2.3</f>
        <v>34.28</v>
      </c>
      <c r="AW29" s="1">
        <v>26</v>
      </c>
      <c r="AX29" s="1" t="s">
        <v>1249</v>
      </c>
      <c r="AY29" s="2">
        <f>18-(2.5+3.33333333333333+4.25+5.2)</f>
        <v>2.7166666666666686</v>
      </c>
      <c r="BM29" s="1">
        <v>26</v>
      </c>
      <c r="BN29" s="1" t="s">
        <v>1250</v>
      </c>
      <c r="BO29" s="6" t="s">
        <v>1251</v>
      </c>
      <c r="CO29" s="1">
        <v>26</v>
      </c>
      <c r="CP29" s="1" t="s">
        <v>1252</v>
      </c>
      <c r="CQ29" s="2">
        <f>(19.6666666666667+1/4)/(4.2*5/42*1/6)</f>
        <v>239.0000000000004</v>
      </c>
    </row>
    <row r="30" spans="1:95">
      <c r="E30" s="1">
        <v>27</v>
      </c>
      <c r="F30" s="1" t="s">
        <v>1253</v>
      </c>
      <c r="G30" s="2">
        <f>7/25+8/105+9/21+11/50+1/63</f>
        <v>1.0206349206349206</v>
      </c>
      <c r="I30" s="1">
        <v>27</v>
      </c>
      <c r="J30" s="1" t="s">
        <v>1254</v>
      </c>
      <c r="K30" s="2">
        <f>2.05555555555556+6.46666666666667+4.02222222222222+7.01111111111111</f>
        <v>19.555555555555561</v>
      </c>
      <c r="AS30" s="1">
        <v>27</v>
      </c>
      <c r="AT30" s="1" t="s">
        <v>1255</v>
      </c>
      <c r="AU30" s="2">
        <f>1/3+4.2-2.5+1/6-1/9</f>
        <v>2.0888888888888886</v>
      </c>
      <c r="AW30" s="1">
        <v>27</v>
      </c>
      <c r="AX30" s="1" t="s">
        <v>1256</v>
      </c>
      <c r="AY30" s="2">
        <f>(6-1/2+1/3)-(2-1/2+1)</f>
        <v>3.333333333333333</v>
      </c>
      <c r="BM30" s="1">
        <v>27</v>
      </c>
      <c r="BN30" s="1" t="s">
        <v>1257</v>
      </c>
      <c r="BO30" s="2">
        <f>(2.33333333333333+3.25)*(3+4.25+1/16)</f>
        <v>40.828124999999979</v>
      </c>
      <c r="CO30" s="1">
        <v>27</v>
      </c>
      <c r="CP30" s="1" t="s">
        <v>1258</v>
      </c>
      <c r="CQ30" s="2">
        <f>(1/2-1/3)*(2-1/5)/(1-1/3)</f>
        <v>0.45</v>
      </c>
    </row>
    <row r="31" spans="1:95">
      <c r="E31" s="1">
        <v>28</v>
      </c>
      <c r="F31" s="1" t="s">
        <v>1259</v>
      </c>
      <c r="G31" s="2">
        <f>19/18+61/72+13/216+1/10+3/5</f>
        <v>2.662962962962963</v>
      </c>
      <c r="I31" s="1">
        <v>28</v>
      </c>
      <c r="J31" s="1" t="s">
        <v>1260</v>
      </c>
      <c r="K31" s="2">
        <f>4.03225806451613+1.01612903225806+1.03225806451613+4.25</f>
        <v>10.33064516129032</v>
      </c>
      <c r="AS31" s="1">
        <v>28</v>
      </c>
      <c r="AT31" s="1" t="s">
        <v>1261</v>
      </c>
      <c r="AU31" s="2">
        <f>4.46666666666667-1/9+1/12-1/36-1</f>
        <v>3.411111111111115</v>
      </c>
      <c r="AW31" s="1">
        <v>28</v>
      </c>
      <c r="AX31" s="1" t="s">
        <v>1262</v>
      </c>
      <c r="AY31" s="2">
        <f>(1/2+1/3+1/4)-(1/8+1/16+1/32)</f>
        <v>0.86458333333333326</v>
      </c>
      <c r="BM31" s="1">
        <v>28</v>
      </c>
      <c r="BN31" s="1" t="s">
        <v>1263</v>
      </c>
      <c r="BO31" s="2">
        <f>150*(9/32+5+1/16)*1/14</f>
        <v>57.254464285714285</v>
      </c>
      <c r="CO31" s="1">
        <v>28</v>
      </c>
      <c r="CP31" s="1" t="s">
        <v>1264</v>
      </c>
      <c r="CQ31" s="2">
        <f>(4-1/4)*(5-1/5)/(1/18)</f>
        <v>324</v>
      </c>
    </row>
    <row r="32" spans="1:95">
      <c r="E32" s="1">
        <v>29</v>
      </c>
      <c r="F32" s="1" t="s">
        <v>1265</v>
      </c>
      <c r="G32" s="2">
        <f>1/324+1/162+5/108+1/14+1/21</f>
        <v>0.17460317460317459</v>
      </c>
      <c r="I32" s="1">
        <v>29</v>
      </c>
      <c r="J32" s="1" t="s">
        <v>1266</v>
      </c>
      <c r="K32" s="6" t="s">
        <v>1267</v>
      </c>
      <c r="AS32" s="1">
        <v>29</v>
      </c>
      <c r="AT32" s="1" t="s">
        <v>1268</v>
      </c>
      <c r="AU32" s="2">
        <f>7.5-5.25+6.125-6.16666666666667+6.11111111111111</f>
        <v>8.3194444444444393</v>
      </c>
      <c r="AW32" s="1">
        <v>29</v>
      </c>
      <c r="AX32" s="1" t="s">
        <v>1269</v>
      </c>
      <c r="AY32" s="2">
        <f>(7/30-1/60+1/4)+(5/3+7/5-1/20)</f>
        <v>3.4833333333333334</v>
      </c>
      <c r="BM32" s="1">
        <v>29</v>
      </c>
      <c r="BN32" s="1" t="s">
        <v>1270</v>
      </c>
      <c r="BO32" s="2">
        <f>(1/3-1/5)*(1/60+10/25)*5.26666666666667</f>
        <v>0.29259259259259274</v>
      </c>
      <c r="CO32" s="1">
        <v>29</v>
      </c>
      <c r="CP32" s="1" t="s">
        <v>1271</v>
      </c>
      <c r="CQ32" s="2">
        <f>(1/2*4/3)/((1/2)/6)/(1/2+1/4)</f>
        <v>10.666666666666666</v>
      </c>
    </row>
    <row r="33" spans="5:95">
      <c r="E33" s="1">
        <v>30</v>
      </c>
      <c r="F33" s="1" t="s">
        <v>1272</v>
      </c>
      <c r="G33" s="6" t="s">
        <v>1273</v>
      </c>
      <c r="I33" s="1">
        <v>30</v>
      </c>
      <c r="J33" s="1" t="s">
        <v>1274</v>
      </c>
      <c r="K33" s="6" t="s">
        <v>1275</v>
      </c>
      <c r="AS33" s="1">
        <v>30</v>
      </c>
      <c r="AT33" s="1" t="s">
        <v>1276</v>
      </c>
      <c r="AU33" s="2">
        <f>25-7/30+4.05-1/50-1/6-3</f>
        <v>25.63</v>
      </c>
      <c r="AW33" s="1">
        <v>30</v>
      </c>
      <c r="AX33" s="1" t="s">
        <v>1277</v>
      </c>
      <c r="AY33" s="2">
        <f>180-3.2-(2.33333333333333+1/6-1/9)</f>
        <v>174.41111111111113</v>
      </c>
      <c r="BM33" s="1">
        <v>30</v>
      </c>
      <c r="BN33" s="1" t="s">
        <v>1278</v>
      </c>
      <c r="BO33" s="2">
        <f>(3.5+1/8)*(6-2/3)*(5.25+1/12)</f>
        <v>103.1111111111111</v>
      </c>
      <c r="CO33" s="1">
        <v>30</v>
      </c>
      <c r="CP33" s="1" t="s">
        <v>1279</v>
      </c>
      <c r="CQ33" s="2">
        <f>(2.33333333333333-1.16666666666667)/(3.25+2.125)/(28/129)</f>
        <v>0.99999999999999412</v>
      </c>
    </row>
    <row r="34" spans="5:95">
      <c r="AY34" s="2"/>
      <c r="CO34" s="1">
        <v>31</v>
      </c>
      <c r="CP34" s="1" t="s">
        <v>1280</v>
      </c>
      <c r="CQ34" s="2">
        <f>3/5*((8/9)/(1/6))</f>
        <v>3.1999999999999997</v>
      </c>
    </row>
    <row r="35" spans="5:95">
      <c r="CO35" s="1">
        <v>32</v>
      </c>
      <c r="CP35" s="1" t="s">
        <v>1281</v>
      </c>
      <c r="CQ35" s="2">
        <f>5/6*((2/3)/(3/2))*72</f>
        <v>26.666666666666664</v>
      </c>
    </row>
    <row r="36" spans="5:95">
      <c r="CO36" s="1">
        <v>33</v>
      </c>
      <c r="CP36" s="1" t="s">
        <v>1282</v>
      </c>
      <c r="CQ36" s="2">
        <f>1/8*((5/6)/(1/2))*150</f>
        <v>31.25</v>
      </c>
    </row>
    <row r="37" spans="5:95">
      <c r="CO37" s="1">
        <v>34</v>
      </c>
      <c r="CP37" s="1" t="s">
        <v>1283</v>
      </c>
      <c r="CQ37" s="6" t="s">
        <v>1284</v>
      </c>
    </row>
    <row r="38" spans="5:95">
      <c r="CO38" s="1">
        <v>35</v>
      </c>
      <c r="CP38" s="1" t="s">
        <v>1285</v>
      </c>
      <c r="CQ38" s="2">
        <f>3/11*2/2*((1/3)/(1/14))*14.4</f>
        <v>18.327272727272728</v>
      </c>
    </row>
  </sheetData>
  <mergeCells count="23">
    <mergeCell ref="U2:W2"/>
    <mergeCell ref="A2:C2"/>
    <mergeCell ref="E2:G2"/>
    <mergeCell ref="I2:K2"/>
    <mergeCell ref="M2:O2"/>
    <mergeCell ref="Q2:S2"/>
    <mergeCell ref="BQ2:BS2"/>
    <mergeCell ref="Y2:AA2"/>
    <mergeCell ref="AC2:AE2"/>
    <mergeCell ref="AG2:AI2"/>
    <mergeCell ref="AK2:AM2"/>
    <mergeCell ref="AO2:AQ2"/>
    <mergeCell ref="AS2:AU2"/>
    <mergeCell ref="AW2:AY2"/>
    <mergeCell ref="BA2:BC2"/>
    <mergeCell ref="BE2:BG2"/>
    <mergeCell ref="BI2:BK2"/>
    <mergeCell ref="BM2:BO2"/>
    <mergeCell ref="BU2:CA2"/>
    <mergeCell ref="CC2:CE2"/>
    <mergeCell ref="CG2:CI2"/>
    <mergeCell ref="CK2:CM2"/>
    <mergeCell ref="CO2:CQ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/>
  <dimension ref="A1:K18"/>
  <sheetViews>
    <sheetView workbookViewId="0"/>
  </sheetViews>
  <sheetFormatPr baseColWidth="10" defaultRowHeight="15"/>
  <cols>
    <col min="1" max="1" width="10.83203125" style="10"/>
    <col min="2" max="2" width="12.6640625" style="10" bestFit="1" customWidth="1"/>
    <col min="3" max="3" width="14.1640625" style="10" customWidth="1"/>
    <col min="4" max="16384" width="10.83203125" style="10"/>
  </cols>
  <sheetData>
    <row r="1" spans="1:11" ht="100" customHeight="1"/>
    <row r="2" spans="1:11">
      <c r="A2" s="11" t="s">
        <v>378</v>
      </c>
      <c r="B2" s="11"/>
      <c r="C2" s="11"/>
      <c r="E2" s="11" t="s">
        <v>376</v>
      </c>
      <c r="F2" s="11"/>
      <c r="G2" s="11"/>
      <c r="I2" s="11" t="s">
        <v>379</v>
      </c>
      <c r="J2" s="11"/>
      <c r="K2" s="11"/>
    </row>
    <row r="3" spans="1:11" ht="32">
      <c r="A3" s="87" t="s">
        <v>4</v>
      </c>
      <c r="B3" s="31" t="s">
        <v>377</v>
      </c>
      <c r="C3" s="31" t="s">
        <v>45</v>
      </c>
      <c r="E3" s="87" t="s">
        <v>4</v>
      </c>
      <c r="F3" s="87" t="s">
        <v>354</v>
      </c>
      <c r="G3" s="31" t="s">
        <v>377</v>
      </c>
      <c r="I3" s="87" t="s">
        <v>4</v>
      </c>
      <c r="J3" s="31" t="s">
        <v>377</v>
      </c>
      <c r="K3" s="31" t="s">
        <v>45</v>
      </c>
    </row>
    <row r="4" spans="1:11">
      <c r="A4" s="10">
        <v>1</v>
      </c>
      <c r="B4" s="15" t="str">
        <f t="shared" ref="B4:B9" si="0">ROMAN(C4,0)</f>
        <v>LVIII</v>
      </c>
      <c r="C4" s="94">
        <v>58</v>
      </c>
      <c r="E4" s="10">
        <v>1</v>
      </c>
      <c r="F4" s="38">
        <v>209</v>
      </c>
      <c r="G4" s="15" t="str">
        <f>ROMAN(F4,0)</f>
        <v>CCIX</v>
      </c>
      <c r="I4" s="36">
        <v>1</v>
      </c>
      <c r="J4" s="15" t="str">
        <f>ROMAN(K4,0)</f>
        <v>MCDXCII</v>
      </c>
      <c r="K4" s="94">
        <v>1492</v>
      </c>
    </row>
    <row r="5" spans="1:11">
      <c r="A5" s="10">
        <v>2</v>
      </c>
      <c r="B5" s="15" t="str">
        <f t="shared" si="0"/>
        <v>CCCXXXIII</v>
      </c>
      <c r="C5" s="94">
        <v>333</v>
      </c>
      <c r="E5" s="10">
        <v>2</v>
      </c>
      <c r="F5" s="38">
        <v>343</v>
      </c>
      <c r="G5" s="15" t="str">
        <f>ROMAN(F5,0)</f>
        <v>CCCXLIII</v>
      </c>
      <c r="I5" s="36" t="s">
        <v>339</v>
      </c>
      <c r="J5" s="15" t="str">
        <f t="shared" ref="J5:J15" si="1">ROMAN(K5,0)</f>
        <v>MDVI</v>
      </c>
      <c r="K5" s="94">
        <v>1506</v>
      </c>
    </row>
    <row r="6" spans="1:11">
      <c r="A6" s="10">
        <v>3</v>
      </c>
      <c r="B6" s="15" t="str">
        <f t="shared" si="0"/>
        <v>DCIII</v>
      </c>
      <c r="C6" s="94">
        <v>603</v>
      </c>
      <c r="E6" s="10">
        <v>3</v>
      </c>
      <c r="F6" s="38">
        <v>1937</v>
      </c>
      <c r="G6" s="15" t="str">
        <f>ROMAN(F6,0)</f>
        <v>MCMXXXVII</v>
      </c>
      <c r="I6" s="36">
        <v>2</v>
      </c>
      <c r="J6" s="15" t="str">
        <f t="shared" si="1"/>
        <v>XVIII</v>
      </c>
      <c r="K6" s="94">
        <v>18</v>
      </c>
    </row>
    <row r="7" spans="1:11">
      <c r="A7" s="10">
        <v>4</v>
      </c>
      <c r="B7" s="15" t="str">
        <f t="shared" si="0"/>
        <v>DCCXXXII</v>
      </c>
      <c r="C7" s="94">
        <v>732</v>
      </c>
      <c r="I7" s="36" t="s">
        <v>302</v>
      </c>
      <c r="J7" s="15" t="str">
        <f t="shared" si="1"/>
        <v>MDCCCLXXII</v>
      </c>
      <c r="K7" s="94">
        <v>1872</v>
      </c>
    </row>
    <row r="8" spans="1:11">
      <c r="A8" s="10">
        <v>5</v>
      </c>
      <c r="B8" s="15" t="str">
        <f t="shared" si="0"/>
        <v>CMXLV</v>
      </c>
      <c r="C8" s="94">
        <v>945</v>
      </c>
      <c r="I8" s="36" t="s">
        <v>307</v>
      </c>
      <c r="J8" s="15" t="str">
        <f t="shared" si="1"/>
        <v>XXII</v>
      </c>
      <c r="K8" s="94">
        <v>22</v>
      </c>
    </row>
    <row r="9" spans="1:11">
      <c r="A9" s="10">
        <v>6</v>
      </c>
      <c r="B9" s="15" t="str">
        <f t="shared" si="0"/>
        <v>MMCCIV</v>
      </c>
      <c r="C9" s="94">
        <v>2204</v>
      </c>
      <c r="I9" s="36" t="s">
        <v>308</v>
      </c>
      <c r="J9" s="15" t="str">
        <f t="shared" si="1"/>
        <v>MDCCCXCV</v>
      </c>
      <c r="K9" s="94">
        <v>1895</v>
      </c>
    </row>
    <row r="10" spans="1:11">
      <c r="B10" s="38"/>
      <c r="C10" s="94"/>
      <c r="I10" s="36" t="s">
        <v>309</v>
      </c>
      <c r="J10" s="15" t="str">
        <f t="shared" si="1"/>
        <v>MDCCCXCVI</v>
      </c>
      <c r="K10" s="94">
        <v>1896</v>
      </c>
    </row>
    <row r="11" spans="1:11">
      <c r="B11" s="38"/>
      <c r="C11" s="94"/>
      <c r="I11" s="36" t="s">
        <v>310</v>
      </c>
      <c r="J11" s="15" t="str">
        <f t="shared" si="1"/>
        <v>V</v>
      </c>
      <c r="K11" s="94">
        <v>5</v>
      </c>
    </row>
    <row r="12" spans="1:11">
      <c r="B12" s="38"/>
      <c r="C12" s="94"/>
      <c r="I12" s="36" t="s">
        <v>311</v>
      </c>
      <c r="J12" s="15" t="str">
        <f t="shared" si="1"/>
        <v>VII</v>
      </c>
      <c r="K12" s="94">
        <v>7</v>
      </c>
    </row>
    <row r="13" spans="1:11">
      <c r="B13" s="38"/>
      <c r="C13" s="94"/>
      <c r="I13" s="36" t="s">
        <v>380</v>
      </c>
      <c r="J13" s="15" t="str">
        <f t="shared" si="1"/>
        <v>MDCCCXI</v>
      </c>
      <c r="K13" s="94">
        <v>1811</v>
      </c>
    </row>
    <row r="14" spans="1:11">
      <c r="B14" s="38"/>
      <c r="C14" s="94"/>
      <c r="I14" s="36" t="s">
        <v>315</v>
      </c>
      <c r="J14" s="15" t="str">
        <f t="shared" si="1"/>
        <v>XV</v>
      </c>
      <c r="K14" s="94">
        <v>15</v>
      </c>
    </row>
    <row r="15" spans="1:11">
      <c r="B15" s="38"/>
      <c r="C15" s="94"/>
      <c r="I15" s="36" t="s">
        <v>316</v>
      </c>
      <c r="J15" s="15" t="str">
        <f t="shared" si="1"/>
        <v>MDCCCX</v>
      </c>
      <c r="K15" s="94">
        <v>1810</v>
      </c>
    </row>
    <row r="16" spans="1:11">
      <c r="B16" s="38"/>
      <c r="C16" s="94"/>
    </row>
    <row r="17" spans="2:3">
      <c r="B17" s="38"/>
      <c r="C17" s="94"/>
    </row>
    <row r="18" spans="2:3">
      <c r="B18" s="38"/>
      <c r="C18" s="94"/>
    </row>
  </sheetData>
  <mergeCells count="3">
    <mergeCell ref="E2:G2"/>
    <mergeCell ref="A2:C2"/>
    <mergeCell ref="I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AB16"/>
  <sheetViews>
    <sheetView workbookViewId="0"/>
  </sheetViews>
  <sheetFormatPr baseColWidth="10" defaultRowHeight="15"/>
  <cols>
    <col min="1" max="2" width="10.83203125" style="10"/>
    <col min="3" max="3" width="14.83203125" style="10" customWidth="1"/>
    <col min="4" max="7" width="10.83203125" style="10"/>
    <col min="8" max="8" width="15.33203125" style="10" customWidth="1"/>
    <col min="9" max="12" width="10.83203125" style="10"/>
    <col min="13" max="13" width="11.33203125" style="10" customWidth="1"/>
    <col min="14" max="14" width="9.83203125" style="10" customWidth="1"/>
    <col min="15" max="15" width="10.33203125" style="10" customWidth="1"/>
    <col min="16" max="16" width="10.6640625" style="10" customWidth="1"/>
    <col min="17" max="17" width="10.33203125" style="10" customWidth="1"/>
    <col min="18" max="19" width="10.83203125" style="10" customWidth="1"/>
    <col min="20" max="20" width="14.33203125" style="10" customWidth="1"/>
    <col min="21" max="21" width="13.6640625" style="10" customWidth="1"/>
    <col min="22" max="22" width="14.1640625" style="10" customWidth="1"/>
    <col min="23" max="23" width="14" style="10" customWidth="1"/>
    <col min="24" max="16384" width="10.83203125" style="10"/>
  </cols>
  <sheetData>
    <row r="1" spans="1:28" ht="100" customHeight="1"/>
    <row r="2" spans="1:28">
      <c r="A2" s="11" t="s">
        <v>356</v>
      </c>
      <c r="B2" s="11"/>
      <c r="C2" s="11"/>
      <c r="E2" s="11" t="s">
        <v>367</v>
      </c>
      <c r="F2" s="11"/>
      <c r="G2" s="11"/>
      <c r="H2" s="11"/>
      <c r="I2" s="11"/>
      <c r="J2" s="11"/>
      <c r="L2" s="11" t="s">
        <v>368</v>
      </c>
      <c r="M2" s="11"/>
      <c r="N2" s="11"/>
      <c r="O2" s="11"/>
      <c r="P2" s="11"/>
      <c r="Q2" s="11"/>
    </row>
    <row r="3" spans="1:28" ht="32">
      <c r="A3" s="87" t="s">
        <v>4</v>
      </c>
      <c r="B3" s="87" t="s">
        <v>354</v>
      </c>
      <c r="C3" s="87" t="s">
        <v>355</v>
      </c>
      <c r="D3" s="12"/>
      <c r="E3" s="87" t="s">
        <v>4</v>
      </c>
      <c r="F3" s="87" t="s">
        <v>212</v>
      </c>
      <c r="G3" s="87" t="s">
        <v>278</v>
      </c>
      <c r="H3" s="31" t="s">
        <v>357</v>
      </c>
      <c r="I3" s="31" t="s">
        <v>358</v>
      </c>
      <c r="J3" s="31" t="s">
        <v>196</v>
      </c>
      <c r="K3" s="12"/>
      <c r="L3" s="87" t="s">
        <v>4</v>
      </c>
      <c r="M3" s="31" t="s">
        <v>370</v>
      </c>
      <c r="N3" s="31" t="s">
        <v>371</v>
      </c>
      <c r="O3" s="31" t="s">
        <v>372</v>
      </c>
      <c r="P3" s="31" t="s">
        <v>373</v>
      </c>
      <c r="Q3" s="31" t="s">
        <v>374</v>
      </c>
      <c r="R3" s="31" t="s">
        <v>375</v>
      </c>
      <c r="S3" s="31" t="s">
        <v>369</v>
      </c>
      <c r="T3" s="31" t="s">
        <v>359</v>
      </c>
      <c r="U3" s="31" t="s">
        <v>361</v>
      </c>
      <c r="V3" s="31" t="s">
        <v>362</v>
      </c>
      <c r="W3" s="31" t="s">
        <v>363</v>
      </c>
      <c r="X3" s="31" t="s">
        <v>360</v>
      </c>
      <c r="Y3" s="31" t="s">
        <v>364</v>
      </c>
      <c r="Z3" s="31" t="s">
        <v>365</v>
      </c>
      <c r="AA3" s="31" t="s">
        <v>366</v>
      </c>
      <c r="AB3" s="31" t="s">
        <v>196</v>
      </c>
    </row>
    <row r="4" spans="1:28">
      <c r="A4" s="10">
        <v>1</v>
      </c>
      <c r="B4" s="38">
        <v>10</v>
      </c>
      <c r="C4" s="94">
        <f>Complemento(B4)</f>
        <v>90</v>
      </c>
      <c r="E4" s="10">
        <v>1</v>
      </c>
      <c r="F4" s="38">
        <v>73</v>
      </c>
      <c r="G4" s="94">
        <v>54</v>
      </c>
      <c r="H4" s="94">
        <f>Complemento(G4)</f>
        <v>46</v>
      </c>
      <c r="I4" s="38">
        <v>100</v>
      </c>
      <c r="J4" s="38">
        <f>F4+H4-I4</f>
        <v>19</v>
      </c>
      <c r="L4" s="10">
        <v>1</v>
      </c>
      <c r="M4" s="38">
        <v>19</v>
      </c>
      <c r="N4" s="94">
        <v>6</v>
      </c>
      <c r="O4" s="94"/>
      <c r="P4" s="38">
        <v>8</v>
      </c>
      <c r="Q4" s="38"/>
      <c r="T4" s="38">
        <f>Complemento(8)</f>
        <v>2</v>
      </c>
      <c r="U4" s="38"/>
      <c r="V4" s="38"/>
      <c r="W4" s="38"/>
      <c r="X4" s="38">
        <v>10</v>
      </c>
      <c r="Y4" s="38"/>
      <c r="Z4" s="38"/>
      <c r="AA4" s="38"/>
      <c r="AB4" s="38">
        <f>SUM(M4:O4)+SUM(T4:W4)-SUM(X4:AA4)</f>
        <v>17</v>
      </c>
    </row>
    <row r="5" spans="1:28">
      <c r="A5" s="10">
        <v>2</v>
      </c>
      <c r="B5" s="38">
        <v>72</v>
      </c>
      <c r="C5" s="94">
        <f t="shared" ref="C5:C15" si="0">Complemento(B5)</f>
        <v>28</v>
      </c>
      <c r="E5" s="10">
        <v>2</v>
      </c>
      <c r="F5" s="38">
        <v>198</v>
      </c>
      <c r="G5" s="94">
        <v>115</v>
      </c>
      <c r="H5" s="94">
        <f t="shared" ref="H5:H13" si="1">Complemento(G5)</f>
        <v>885</v>
      </c>
      <c r="I5" s="38">
        <v>1000</v>
      </c>
      <c r="J5" s="38">
        <f t="shared" ref="J5:J13" si="2">F5+H5-I5</f>
        <v>83</v>
      </c>
      <c r="L5" s="10">
        <v>2</v>
      </c>
      <c r="M5" s="38">
        <v>35</v>
      </c>
      <c r="N5" s="38">
        <v>4</v>
      </c>
      <c r="P5" s="94">
        <v>22</v>
      </c>
      <c r="Q5" s="94">
        <v>6</v>
      </c>
      <c r="T5" s="38">
        <f>Complemento(22)</f>
        <v>78</v>
      </c>
      <c r="U5" s="38">
        <f>Complemento(6)</f>
        <v>4</v>
      </c>
      <c r="V5" s="38"/>
      <c r="W5" s="38"/>
      <c r="X5" s="38">
        <v>100</v>
      </c>
      <c r="Y5" s="38">
        <v>10</v>
      </c>
      <c r="Z5" s="38"/>
      <c r="AA5" s="38"/>
      <c r="AB5" s="38">
        <f t="shared" ref="AB5:AB11" si="3">SUM(M5:O5)+SUM(T5:W5)-SUM(X5:AA5)</f>
        <v>11</v>
      </c>
    </row>
    <row r="6" spans="1:28">
      <c r="A6" s="10">
        <v>3</v>
      </c>
      <c r="B6" s="38">
        <v>300</v>
      </c>
      <c r="C6" s="94">
        <f t="shared" si="0"/>
        <v>700</v>
      </c>
      <c r="E6" s="10">
        <v>3</v>
      </c>
      <c r="F6" s="38">
        <v>954</v>
      </c>
      <c r="G6" s="94">
        <v>930</v>
      </c>
      <c r="H6" s="94">
        <f t="shared" si="1"/>
        <v>70</v>
      </c>
      <c r="I6" s="38">
        <v>1000</v>
      </c>
      <c r="J6" s="38">
        <f t="shared" si="2"/>
        <v>24</v>
      </c>
      <c r="L6" s="10">
        <v>3</v>
      </c>
      <c r="M6" s="38">
        <v>123</v>
      </c>
      <c r="N6" s="94">
        <v>154</v>
      </c>
      <c r="P6" s="94">
        <v>96</v>
      </c>
      <c r="Q6" s="38">
        <v>76</v>
      </c>
      <c r="T6" s="38">
        <f>Complemento(96)</f>
        <v>4</v>
      </c>
      <c r="U6" s="38">
        <f>Complemento(76)</f>
        <v>24</v>
      </c>
      <c r="V6" s="38"/>
      <c r="W6" s="38"/>
      <c r="X6" s="38">
        <v>100</v>
      </c>
      <c r="Y6" s="38">
        <v>100</v>
      </c>
      <c r="Z6" s="38"/>
      <c r="AA6" s="38"/>
      <c r="AB6" s="38">
        <f t="shared" si="3"/>
        <v>105</v>
      </c>
    </row>
    <row r="7" spans="1:28">
      <c r="A7" s="10">
        <v>4</v>
      </c>
      <c r="B7" s="38">
        <v>453</v>
      </c>
      <c r="C7" s="94">
        <f t="shared" si="0"/>
        <v>547</v>
      </c>
      <c r="E7" s="10">
        <v>4</v>
      </c>
      <c r="F7" s="38">
        <v>1215</v>
      </c>
      <c r="G7" s="94">
        <v>843</v>
      </c>
      <c r="H7" s="94">
        <f t="shared" si="1"/>
        <v>157</v>
      </c>
      <c r="I7" s="38">
        <v>1000</v>
      </c>
      <c r="J7" s="38">
        <f t="shared" si="2"/>
        <v>372</v>
      </c>
      <c r="L7" s="10">
        <v>4</v>
      </c>
      <c r="M7" s="38">
        <v>810</v>
      </c>
      <c r="N7" s="94">
        <v>560</v>
      </c>
      <c r="O7" s="94"/>
      <c r="P7" s="38">
        <v>700</v>
      </c>
      <c r="Q7" s="38">
        <v>90</v>
      </c>
      <c r="T7" s="38">
        <f>Complemento(700)</f>
        <v>300</v>
      </c>
      <c r="U7" s="38">
        <f>Complemento(90)</f>
        <v>10</v>
      </c>
      <c r="V7" s="38"/>
      <c r="W7" s="38"/>
      <c r="X7" s="38">
        <v>1000</v>
      </c>
      <c r="Y7" s="38">
        <v>100</v>
      </c>
      <c r="Z7" s="38"/>
      <c r="AA7" s="38"/>
      <c r="AB7" s="38">
        <f t="shared" si="3"/>
        <v>580</v>
      </c>
    </row>
    <row r="8" spans="1:28">
      <c r="A8" s="10">
        <v>5</v>
      </c>
      <c r="B8" s="38">
        <v>560</v>
      </c>
      <c r="C8" s="94">
        <f t="shared" si="0"/>
        <v>440</v>
      </c>
      <c r="E8" s="10">
        <v>5</v>
      </c>
      <c r="F8" s="38">
        <v>7700</v>
      </c>
      <c r="G8" s="94">
        <v>3000</v>
      </c>
      <c r="H8" s="94">
        <f t="shared" si="1"/>
        <v>7000</v>
      </c>
      <c r="I8" s="38">
        <v>10000</v>
      </c>
      <c r="J8" s="38">
        <f t="shared" si="2"/>
        <v>4700</v>
      </c>
      <c r="L8" s="10">
        <v>5</v>
      </c>
      <c r="M8" s="38">
        <v>14</v>
      </c>
      <c r="N8" s="94">
        <v>42</v>
      </c>
      <c r="O8" s="94">
        <v>300</v>
      </c>
      <c r="P8" s="38">
        <v>9</v>
      </c>
      <c r="Q8" s="38">
        <v>20</v>
      </c>
      <c r="R8" s="38">
        <v>80</v>
      </c>
      <c r="S8" s="38">
        <v>23</v>
      </c>
      <c r="T8" s="38">
        <f>Complemento(9)</f>
        <v>1</v>
      </c>
      <c r="U8" s="38">
        <f>Complemento(20)</f>
        <v>80</v>
      </c>
      <c r="V8" s="38">
        <f>Complemento(80)</f>
        <v>20</v>
      </c>
      <c r="W8" s="38">
        <f>Complemento(23)</f>
        <v>77</v>
      </c>
      <c r="X8" s="38">
        <v>10</v>
      </c>
      <c r="Y8" s="38">
        <v>100</v>
      </c>
      <c r="Z8" s="38">
        <v>100</v>
      </c>
      <c r="AA8" s="38">
        <v>100</v>
      </c>
      <c r="AB8" s="38">
        <f t="shared" si="3"/>
        <v>224</v>
      </c>
    </row>
    <row r="9" spans="1:28">
      <c r="A9" s="10">
        <v>6</v>
      </c>
      <c r="B9" s="38">
        <v>1920</v>
      </c>
      <c r="C9" s="94">
        <f t="shared" si="0"/>
        <v>8080</v>
      </c>
      <c r="E9" s="10">
        <v>6</v>
      </c>
      <c r="F9" s="38">
        <v>18564</v>
      </c>
      <c r="G9" s="94">
        <v>5610</v>
      </c>
      <c r="H9" s="94">
        <f t="shared" si="1"/>
        <v>4390</v>
      </c>
      <c r="I9" s="38">
        <v>10000</v>
      </c>
      <c r="J9" s="38">
        <f t="shared" si="2"/>
        <v>12954</v>
      </c>
      <c r="L9" s="10">
        <v>6</v>
      </c>
      <c r="M9" s="38">
        <v>1274</v>
      </c>
      <c r="N9" s="38">
        <v>3340</v>
      </c>
      <c r="P9" s="38">
        <v>863</v>
      </c>
      <c r="Q9" s="94">
        <v>14</v>
      </c>
      <c r="R9" s="38">
        <v>10</v>
      </c>
      <c r="S9" s="38">
        <v>19</v>
      </c>
      <c r="T9" s="38">
        <f>Complemento(863)</f>
        <v>137</v>
      </c>
      <c r="U9" s="38">
        <f>Complemento(14)</f>
        <v>86</v>
      </c>
      <c r="V9" s="38">
        <f>Complemento(10)</f>
        <v>90</v>
      </c>
      <c r="W9" s="38">
        <f>Complemento(19)</f>
        <v>81</v>
      </c>
      <c r="X9" s="38">
        <v>1000</v>
      </c>
      <c r="Y9" s="38">
        <v>100</v>
      </c>
      <c r="Z9" s="38">
        <v>100</v>
      </c>
      <c r="AA9" s="38">
        <v>100</v>
      </c>
      <c r="AB9" s="38">
        <f t="shared" si="3"/>
        <v>3708</v>
      </c>
    </row>
    <row r="10" spans="1:28">
      <c r="A10" s="10">
        <v>7</v>
      </c>
      <c r="B10" s="38">
        <v>32987</v>
      </c>
      <c r="C10" s="94">
        <f t="shared" si="0"/>
        <v>67013</v>
      </c>
      <c r="E10" s="10">
        <v>7</v>
      </c>
      <c r="F10" s="38">
        <v>99900</v>
      </c>
      <c r="G10" s="94">
        <v>10000</v>
      </c>
      <c r="H10" s="94">
        <f t="shared" si="1"/>
        <v>90000</v>
      </c>
      <c r="I10" s="38">
        <v>100000</v>
      </c>
      <c r="J10" s="38">
        <f t="shared" si="2"/>
        <v>89900</v>
      </c>
      <c r="L10" s="10">
        <v>7</v>
      </c>
      <c r="M10" s="38">
        <v>20180</v>
      </c>
      <c r="N10" s="94">
        <v>14208</v>
      </c>
      <c r="O10" s="38">
        <v>29314</v>
      </c>
      <c r="P10" s="38">
        <v>45209</v>
      </c>
      <c r="Q10" s="38">
        <v>8164</v>
      </c>
      <c r="T10" s="38">
        <f>Complemento(45209)</f>
        <v>54791</v>
      </c>
      <c r="U10" s="38">
        <f>Complemento(8164)</f>
        <v>1836</v>
      </c>
      <c r="V10" s="38"/>
      <c r="W10" s="38"/>
      <c r="X10" s="38">
        <v>100000</v>
      </c>
      <c r="Y10" s="38">
        <v>10000</v>
      </c>
      <c r="Z10" s="38"/>
      <c r="AA10" s="38"/>
      <c r="AB10" s="38">
        <f t="shared" si="3"/>
        <v>10329</v>
      </c>
    </row>
    <row r="11" spans="1:28">
      <c r="A11" s="10">
        <v>8</v>
      </c>
      <c r="B11" s="38">
        <v>500700</v>
      </c>
      <c r="C11" s="94">
        <f t="shared" si="0"/>
        <v>499300</v>
      </c>
      <c r="E11" s="10">
        <v>8</v>
      </c>
      <c r="F11" s="38">
        <v>143765</v>
      </c>
      <c r="G11" s="94">
        <v>20000</v>
      </c>
      <c r="H11" s="94">
        <f t="shared" si="1"/>
        <v>80000</v>
      </c>
      <c r="I11" s="38">
        <v>100000</v>
      </c>
      <c r="J11" s="38">
        <f t="shared" si="2"/>
        <v>123765</v>
      </c>
      <c r="L11" s="10">
        <v>8</v>
      </c>
      <c r="M11" s="38">
        <v>54209</v>
      </c>
      <c r="P11" s="94">
        <v>1349</v>
      </c>
      <c r="Q11" s="94">
        <v>10000</v>
      </c>
      <c r="R11" s="38">
        <v>4000</v>
      </c>
      <c r="S11" s="38">
        <v>6250</v>
      </c>
      <c r="T11" s="38">
        <f>Complemento(1349)</f>
        <v>8651</v>
      </c>
      <c r="U11" s="38">
        <f>Complemento(10000)</f>
        <v>90000</v>
      </c>
      <c r="V11" s="38">
        <f>Complemento(4000)</f>
        <v>6000</v>
      </c>
      <c r="W11" s="38">
        <f>Complemento(6250)</f>
        <v>3750</v>
      </c>
      <c r="X11" s="38">
        <v>10000</v>
      </c>
      <c r="Y11" s="38">
        <v>100000</v>
      </c>
      <c r="Z11" s="38">
        <v>10000</v>
      </c>
      <c r="AA11" s="38">
        <v>10000</v>
      </c>
      <c r="AB11" s="38">
        <f t="shared" si="3"/>
        <v>32610</v>
      </c>
    </row>
    <row r="12" spans="1:28">
      <c r="A12" s="10">
        <v>9</v>
      </c>
      <c r="B12" s="38">
        <v>89116</v>
      </c>
      <c r="C12" s="94">
        <f t="shared" si="0"/>
        <v>10884</v>
      </c>
      <c r="E12" s="10">
        <v>9</v>
      </c>
      <c r="F12" s="38">
        <v>123456</v>
      </c>
      <c r="G12" s="94">
        <v>54000</v>
      </c>
      <c r="H12" s="94">
        <f t="shared" si="1"/>
        <v>46000</v>
      </c>
      <c r="I12" s="38">
        <v>100000</v>
      </c>
      <c r="J12" s="38">
        <f t="shared" si="2"/>
        <v>69456</v>
      </c>
      <c r="M12" s="38"/>
      <c r="N12" s="94"/>
      <c r="O12" s="94"/>
      <c r="P12" s="38"/>
      <c r="Q12" s="38"/>
    </row>
    <row r="13" spans="1:28">
      <c r="A13" s="10">
        <v>10</v>
      </c>
      <c r="B13" s="38">
        <v>421594</v>
      </c>
      <c r="C13" s="94">
        <f t="shared" si="0"/>
        <v>578406</v>
      </c>
      <c r="E13" s="10">
        <v>10</v>
      </c>
      <c r="F13" s="38">
        <v>53789543</v>
      </c>
      <c r="G13" s="94">
        <v>56470</v>
      </c>
      <c r="H13" s="94">
        <f t="shared" si="1"/>
        <v>43530</v>
      </c>
      <c r="I13" s="38">
        <v>100000</v>
      </c>
      <c r="J13" s="38">
        <f t="shared" si="2"/>
        <v>53733073</v>
      </c>
      <c r="M13" s="38"/>
      <c r="N13" s="94"/>
      <c r="O13" s="94"/>
      <c r="P13" s="38"/>
      <c r="Q13" s="38"/>
    </row>
    <row r="14" spans="1:28">
      <c r="A14" s="10">
        <v>11</v>
      </c>
      <c r="B14" s="38">
        <v>239000</v>
      </c>
      <c r="C14" s="94">
        <f t="shared" si="0"/>
        <v>761000</v>
      </c>
      <c r="F14" s="38"/>
      <c r="G14" s="94"/>
      <c r="H14" s="94"/>
      <c r="J14" s="38"/>
    </row>
    <row r="15" spans="1:28">
      <c r="A15" s="10">
        <v>12</v>
      </c>
      <c r="B15" s="38">
        <v>78996000</v>
      </c>
      <c r="C15" s="94">
        <f t="shared" si="0"/>
        <v>21004000</v>
      </c>
      <c r="F15" s="38"/>
      <c r="G15" s="94"/>
      <c r="H15" s="94"/>
      <c r="J15" s="38"/>
    </row>
    <row r="16" spans="1:28">
      <c r="B16" s="38"/>
      <c r="C16" s="94"/>
    </row>
  </sheetData>
  <mergeCells count="3">
    <mergeCell ref="A2:C2"/>
    <mergeCell ref="E2:J2"/>
    <mergeCell ref="L2:Q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5"/>
  <dimension ref="A1:R47"/>
  <sheetViews>
    <sheetView workbookViewId="0"/>
  </sheetViews>
  <sheetFormatPr baseColWidth="10" defaultRowHeight="15"/>
  <cols>
    <col min="1" max="1" width="9.5" style="10" customWidth="1"/>
    <col min="2" max="2" width="19.33203125" style="10" customWidth="1"/>
    <col min="3" max="3" width="18.83203125" style="10" customWidth="1"/>
    <col min="4" max="5" width="10.83203125" style="10"/>
    <col min="6" max="6" width="24.83203125" style="10" customWidth="1"/>
    <col min="7" max="7" width="11.6640625" style="10" customWidth="1"/>
    <col min="8" max="8" width="10.83203125" style="10"/>
    <col min="9" max="9" width="9.83203125" style="10" customWidth="1"/>
    <col min="10" max="10" width="9" style="10" customWidth="1"/>
    <col min="11" max="11" width="6.5" style="10" customWidth="1"/>
    <col min="12" max="12" width="9" style="10" customWidth="1"/>
    <col min="13" max="13" width="14.5" style="10" customWidth="1"/>
    <col min="14" max="17" width="10.83203125" style="10"/>
    <col min="18" max="18" width="15.6640625" style="10" customWidth="1"/>
    <col min="19" max="16384" width="10.83203125" style="10"/>
  </cols>
  <sheetData>
    <row r="1" spans="1:18" ht="100" customHeight="1"/>
    <row r="2" spans="1:18">
      <c r="A2" s="11" t="s">
        <v>390</v>
      </c>
      <c r="B2" s="11"/>
      <c r="C2" s="11"/>
      <c r="D2" s="30"/>
      <c r="E2" s="11" t="s">
        <v>413</v>
      </c>
      <c r="F2" s="11"/>
      <c r="G2" s="11"/>
      <c r="H2" s="80"/>
      <c r="I2" s="11" t="s">
        <v>423</v>
      </c>
      <c r="J2" s="11"/>
      <c r="K2" s="11"/>
      <c r="L2" s="11"/>
      <c r="N2" s="11" t="s">
        <v>383</v>
      </c>
      <c r="O2" s="11"/>
      <c r="P2" s="11"/>
      <c r="Q2" s="11"/>
    </row>
    <row r="3" spans="1:18">
      <c r="A3" s="80" t="s">
        <v>4</v>
      </c>
      <c r="B3" s="80" t="s">
        <v>391</v>
      </c>
      <c r="C3" s="80" t="s">
        <v>196</v>
      </c>
      <c r="E3" s="80" t="s">
        <v>4</v>
      </c>
      <c r="F3" s="80" t="s">
        <v>391</v>
      </c>
      <c r="G3" s="80" t="s">
        <v>196</v>
      </c>
      <c r="I3" s="10" t="s">
        <v>4</v>
      </c>
      <c r="J3" s="10" t="s">
        <v>354</v>
      </c>
      <c r="K3" s="10" t="s">
        <v>388</v>
      </c>
      <c r="L3" s="10" t="s">
        <v>389</v>
      </c>
      <c r="N3" s="10" t="s">
        <v>4</v>
      </c>
      <c r="O3" s="10" t="s">
        <v>354</v>
      </c>
      <c r="P3" s="10" t="s">
        <v>381</v>
      </c>
      <c r="Q3" s="10" t="s">
        <v>382</v>
      </c>
      <c r="R3" s="10" t="s">
        <v>384</v>
      </c>
    </row>
    <row r="4" spans="1:18">
      <c r="A4" s="10">
        <v>16</v>
      </c>
      <c r="B4" s="10" t="s">
        <v>392</v>
      </c>
      <c r="C4" s="38">
        <f>2^0*2</f>
        <v>2</v>
      </c>
      <c r="E4" s="10">
        <v>1</v>
      </c>
      <c r="F4" s="10" t="s">
        <v>414</v>
      </c>
      <c r="G4" s="38">
        <f>3^2*3</f>
        <v>27</v>
      </c>
      <c r="I4" s="10">
        <v>1</v>
      </c>
      <c r="J4" s="38">
        <v>81</v>
      </c>
      <c r="K4" s="10">
        <v>2</v>
      </c>
      <c r="L4" s="10">
        <f>POWER(J4,1/K4)</f>
        <v>9</v>
      </c>
      <c r="N4" s="10">
        <v>1</v>
      </c>
      <c r="O4" s="38">
        <v>4</v>
      </c>
      <c r="P4" s="10">
        <v>2</v>
      </c>
      <c r="Q4" s="10">
        <f>LOG(O4,P4)</f>
        <v>2</v>
      </c>
    </row>
    <row r="5" spans="1:18">
      <c r="A5" s="10">
        <v>17</v>
      </c>
      <c r="B5" s="10" t="s">
        <v>393</v>
      </c>
      <c r="C5" s="38">
        <f>3^0*5^4</f>
        <v>625</v>
      </c>
      <c r="E5" s="10">
        <v>4</v>
      </c>
      <c r="F5" s="10" t="s">
        <v>415</v>
      </c>
      <c r="G5" s="38">
        <f>2^2*2^3*2^4</f>
        <v>512</v>
      </c>
      <c r="I5" s="10">
        <v>2</v>
      </c>
      <c r="J5" s="38">
        <v>100</v>
      </c>
      <c r="K5" s="10">
        <v>2</v>
      </c>
      <c r="L5" s="10">
        <f t="shared" ref="L5:L12" si="0">POWER(J5,1/K5)</f>
        <v>10</v>
      </c>
      <c r="N5" s="10">
        <v>2</v>
      </c>
      <c r="O5" s="38">
        <v>16</v>
      </c>
      <c r="P5" s="10">
        <v>2</v>
      </c>
      <c r="Q5" s="10">
        <f t="shared" ref="Q5:Q29" si="1">LOG(O5,P5)</f>
        <v>4</v>
      </c>
    </row>
    <row r="6" spans="1:18">
      <c r="A6" s="10">
        <v>18</v>
      </c>
      <c r="B6" s="10" t="s">
        <v>394</v>
      </c>
      <c r="C6" s="38">
        <f>4^2*3^2</f>
        <v>144</v>
      </c>
      <c r="E6" s="10">
        <v>6</v>
      </c>
      <c r="F6" s="10" t="s">
        <v>416</v>
      </c>
      <c r="G6" s="38">
        <f>3*3^2*3^3*3^4</f>
        <v>59049</v>
      </c>
      <c r="I6" s="10">
        <v>3</v>
      </c>
      <c r="J6" s="38">
        <v>27</v>
      </c>
      <c r="K6" s="10">
        <v>3</v>
      </c>
      <c r="L6" s="10">
        <f t="shared" si="0"/>
        <v>2.9999999999999996</v>
      </c>
      <c r="N6" s="10">
        <v>3</v>
      </c>
      <c r="O6" s="38">
        <v>27</v>
      </c>
      <c r="P6" s="10">
        <v>3</v>
      </c>
      <c r="Q6" s="10">
        <f t="shared" si="1"/>
        <v>3</v>
      </c>
    </row>
    <row r="7" spans="1:18">
      <c r="A7" s="10">
        <v>19</v>
      </c>
      <c r="B7" s="10" t="s">
        <v>395</v>
      </c>
      <c r="C7" s="38">
        <f>5^0*3^7*6^0</f>
        <v>2187</v>
      </c>
      <c r="E7" s="10">
        <v>10</v>
      </c>
      <c r="F7" s="10" t="s">
        <v>417</v>
      </c>
      <c r="G7" s="38">
        <f>3^5/3^5</f>
        <v>1</v>
      </c>
      <c r="I7" s="10">
        <v>4</v>
      </c>
      <c r="J7" s="38">
        <v>216</v>
      </c>
      <c r="K7" s="10">
        <v>3</v>
      </c>
      <c r="L7" s="10">
        <f t="shared" si="0"/>
        <v>6</v>
      </c>
      <c r="N7" s="10">
        <v>4</v>
      </c>
      <c r="O7" s="38">
        <v>243</v>
      </c>
      <c r="P7" s="10">
        <v>3</v>
      </c>
      <c r="Q7" s="10">
        <f t="shared" si="1"/>
        <v>4.9999999999999991</v>
      </c>
    </row>
    <row r="8" spans="1:18">
      <c r="A8" s="10">
        <v>20</v>
      </c>
      <c r="B8" s="10" t="s">
        <v>396</v>
      </c>
      <c r="C8" s="38">
        <f>2^0*3^0*4^0*5^0</f>
        <v>1</v>
      </c>
      <c r="E8" s="10">
        <v>11</v>
      </c>
      <c r="F8" s="10" t="s">
        <v>418</v>
      </c>
      <c r="G8" s="38">
        <f>2^8/2^3</f>
        <v>32</v>
      </c>
      <c r="I8" s="10">
        <v>5</v>
      </c>
      <c r="J8" s="38">
        <v>81</v>
      </c>
      <c r="K8" s="10">
        <v>4</v>
      </c>
      <c r="L8" s="10">
        <f t="shared" si="0"/>
        <v>3.0000000000000004</v>
      </c>
      <c r="N8" s="10">
        <v>5</v>
      </c>
      <c r="O8" s="38">
        <v>1</v>
      </c>
      <c r="P8" s="10">
        <v>5</v>
      </c>
      <c r="Q8" s="10">
        <f t="shared" si="1"/>
        <v>0</v>
      </c>
    </row>
    <row r="9" spans="1:18">
      <c r="A9" s="10">
        <v>21</v>
      </c>
      <c r="B9" s="10" t="s">
        <v>397</v>
      </c>
      <c r="C9" s="38">
        <f>3^3*4^2*5^4</f>
        <v>270000</v>
      </c>
      <c r="E9" s="10">
        <v>17</v>
      </c>
      <c r="F9" s="10" t="s">
        <v>419</v>
      </c>
      <c r="G9" s="38">
        <f>(2^4*2)/2^2</f>
        <v>8</v>
      </c>
      <c r="I9" s="10">
        <v>6</v>
      </c>
      <c r="J9" s="38">
        <v>32</v>
      </c>
      <c r="K9" s="10">
        <v>5</v>
      </c>
      <c r="L9" s="10">
        <f t="shared" si="0"/>
        <v>2</v>
      </c>
      <c r="N9" s="10">
        <v>6</v>
      </c>
      <c r="O9" s="38">
        <v>64</v>
      </c>
      <c r="P9" s="10">
        <v>4</v>
      </c>
      <c r="Q9" s="10">
        <f t="shared" si="1"/>
        <v>3</v>
      </c>
    </row>
    <row r="10" spans="1:18">
      <c r="A10" s="10">
        <v>22</v>
      </c>
      <c r="B10" s="10" t="s">
        <v>398</v>
      </c>
      <c r="C10" s="38">
        <f>2^10*10^2*8^0</f>
        <v>102400</v>
      </c>
      <c r="E10" s="10">
        <v>18</v>
      </c>
      <c r="F10" s="10" t="s">
        <v>420</v>
      </c>
      <c r="G10" s="38">
        <f>(5^5*5^3*5^6)/5^14</f>
        <v>1</v>
      </c>
      <c r="I10" s="10">
        <v>7</v>
      </c>
      <c r="J10" s="38">
        <v>64</v>
      </c>
      <c r="K10" s="10">
        <v>6</v>
      </c>
      <c r="L10" s="10">
        <f t="shared" si="0"/>
        <v>1.9999999999999998</v>
      </c>
      <c r="N10" s="10">
        <v>7</v>
      </c>
      <c r="O10" s="38">
        <v>25</v>
      </c>
      <c r="P10" s="10">
        <v>5</v>
      </c>
      <c r="Q10" s="10">
        <f t="shared" si="1"/>
        <v>2</v>
      </c>
    </row>
    <row r="11" spans="1:18">
      <c r="A11" s="10">
        <v>23</v>
      </c>
      <c r="B11" s="10" t="s">
        <v>399</v>
      </c>
      <c r="C11" s="38">
        <f>6^2*9^0*2^10</f>
        <v>36864</v>
      </c>
      <c r="E11" s="10">
        <v>19</v>
      </c>
      <c r="F11" s="10" t="s">
        <v>421</v>
      </c>
      <c r="G11" s="38">
        <f>(2^8*2^5)/(2^10*2^3)</f>
        <v>1</v>
      </c>
      <c r="I11" s="10">
        <v>8</v>
      </c>
      <c r="J11" s="38">
        <v>243</v>
      </c>
      <c r="K11" s="10">
        <v>5</v>
      </c>
      <c r="L11" s="10">
        <f t="shared" si="0"/>
        <v>3.0000000000000004</v>
      </c>
      <c r="N11" s="10">
        <v>8</v>
      </c>
      <c r="O11" s="38">
        <v>625</v>
      </c>
      <c r="P11" s="10">
        <v>5</v>
      </c>
      <c r="Q11" s="10">
        <f t="shared" si="1"/>
        <v>4</v>
      </c>
    </row>
    <row r="12" spans="1:18">
      <c r="A12" s="10">
        <v>24</v>
      </c>
      <c r="B12" s="10" t="s">
        <v>400</v>
      </c>
      <c r="C12" s="19">
        <f>3^0/(2^2*3^2)</f>
        <v>2.7777777777777776E-2</v>
      </c>
      <c r="E12" s="10">
        <v>23</v>
      </c>
      <c r="F12" s="10" t="s">
        <v>422</v>
      </c>
      <c r="G12" s="38">
        <f>(3^5*3^6*3^15)/(3^9*3^14)</f>
        <v>27</v>
      </c>
      <c r="I12" s="10">
        <v>9</v>
      </c>
      <c r="J12" s="38">
        <v>128</v>
      </c>
      <c r="K12" s="10">
        <v>7</v>
      </c>
      <c r="L12" s="10">
        <f t="shared" si="0"/>
        <v>2</v>
      </c>
      <c r="N12" s="10">
        <v>9</v>
      </c>
      <c r="O12" s="38">
        <v>36</v>
      </c>
      <c r="P12" s="10">
        <v>6</v>
      </c>
      <c r="Q12" s="10">
        <f t="shared" si="1"/>
        <v>2</v>
      </c>
    </row>
    <row r="13" spans="1:18">
      <c r="A13" s="10">
        <v>25</v>
      </c>
      <c r="B13" s="10" t="s">
        <v>401</v>
      </c>
      <c r="C13" s="10">
        <f>5^3/3^0</f>
        <v>125</v>
      </c>
      <c r="I13" s="10">
        <v>10</v>
      </c>
      <c r="J13" s="38">
        <f>POWER(L13,K13)</f>
        <v>512</v>
      </c>
      <c r="K13" s="10">
        <v>3</v>
      </c>
      <c r="L13" s="10">
        <v>8</v>
      </c>
      <c r="N13" s="10">
        <v>10</v>
      </c>
      <c r="O13" s="38">
        <v>2401</v>
      </c>
      <c r="P13" s="10">
        <v>7</v>
      </c>
      <c r="Q13" s="10">
        <f t="shared" si="1"/>
        <v>4</v>
      </c>
    </row>
    <row r="14" spans="1:18">
      <c r="A14" s="10">
        <v>26</v>
      </c>
      <c r="B14" s="10" t="s">
        <v>402</v>
      </c>
      <c r="C14" s="10">
        <f>3^2*3^0/9</f>
        <v>1</v>
      </c>
      <c r="I14" s="10">
        <v>11</v>
      </c>
      <c r="J14" s="38">
        <f t="shared" ref="J14:J22" si="2">POWER(L14,K14)</f>
        <v>961</v>
      </c>
      <c r="K14" s="10">
        <v>2</v>
      </c>
      <c r="L14" s="10">
        <v>31</v>
      </c>
      <c r="N14" s="10">
        <v>11</v>
      </c>
      <c r="O14" s="38">
        <v>512</v>
      </c>
      <c r="P14" s="10">
        <v>2</v>
      </c>
      <c r="Q14" s="10">
        <f t="shared" si="1"/>
        <v>9</v>
      </c>
    </row>
    <row r="15" spans="1:18">
      <c r="A15" s="10">
        <v>27</v>
      </c>
      <c r="B15" s="10" t="s">
        <v>403</v>
      </c>
      <c r="C15" s="10">
        <f>2^4*5^2/(5^0*4^2)</f>
        <v>25</v>
      </c>
      <c r="I15" s="10">
        <v>12</v>
      </c>
      <c r="J15" s="38">
        <f t="shared" si="2"/>
        <v>256</v>
      </c>
      <c r="K15" s="10">
        <v>4</v>
      </c>
      <c r="L15" s="10">
        <v>4</v>
      </c>
      <c r="N15" s="10">
        <v>12</v>
      </c>
      <c r="O15" s="38">
        <v>1024</v>
      </c>
      <c r="P15" s="10">
        <v>2</v>
      </c>
      <c r="Q15" s="10">
        <f t="shared" si="1"/>
        <v>10</v>
      </c>
    </row>
    <row r="16" spans="1:18">
      <c r="A16" s="10">
        <v>28</v>
      </c>
      <c r="B16" s="10" t="s">
        <v>404</v>
      </c>
      <c r="C16" s="10">
        <f>3^4*2^0/(9^2*2^0)</f>
        <v>1</v>
      </c>
      <c r="I16" s="10">
        <v>13</v>
      </c>
      <c r="J16" s="38">
        <f t="shared" si="2"/>
        <v>64</v>
      </c>
      <c r="K16" s="10">
        <v>6</v>
      </c>
      <c r="L16" s="10">
        <v>2</v>
      </c>
      <c r="N16" s="10">
        <v>21</v>
      </c>
      <c r="O16" s="38">
        <v>9</v>
      </c>
      <c r="P16" s="10">
        <v>3</v>
      </c>
      <c r="Q16" s="10">
        <f t="shared" si="1"/>
        <v>2</v>
      </c>
    </row>
    <row r="17" spans="1:18">
      <c r="A17" s="10">
        <v>29</v>
      </c>
      <c r="B17" s="10" t="s">
        <v>405</v>
      </c>
      <c r="C17" s="10">
        <f>5^5*2^3/(10^2*5^0)</f>
        <v>250</v>
      </c>
      <c r="I17" s="10">
        <v>14</v>
      </c>
      <c r="J17" s="38">
        <f t="shared" si="2"/>
        <v>49</v>
      </c>
      <c r="K17" s="10">
        <v>2</v>
      </c>
      <c r="L17" s="10">
        <v>7</v>
      </c>
      <c r="N17" s="10">
        <v>22</v>
      </c>
      <c r="O17" s="38">
        <v>16</v>
      </c>
      <c r="P17" s="10">
        <v>4</v>
      </c>
      <c r="Q17" s="10">
        <f t="shared" si="1"/>
        <v>2</v>
      </c>
    </row>
    <row r="18" spans="1:18">
      <c r="A18" s="10">
        <v>30</v>
      </c>
      <c r="B18" s="10" t="s">
        <v>406</v>
      </c>
      <c r="C18" s="10">
        <f>3^0*5^2/4^0</f>
        <v>25</v>
      </c>
      <c r="I18" s="10">
        <v>15</v>
      </c>
      <c r="J18" s="38">
        <f t="shared" si="2"/>
        <v>121</v>
      </c>
      <c r="K18" s="10">
        <v>2</v>
      </c>
      <c r="L18" s="10">
        <v>11</v>
      </c>
      <c r="N18" s="10">
        <v>23</v>
      </c>
      <c r="O18" s="38">
        <v>1</v>
      </c>
      <c r="P18" s="10">
        <v>6</v>
      </c>
      <c r="Q18" s="10">
        <f t="shared" si="1"/>
        <v>0</v>
      </c>
    </row>
    <row r="19" spans="1:18">
      <c r="A19" s="10">
        <v>31</v>
      </c>
      <c r="B19" s="10" t="s">
        <v>407</v>
      </c>
      <c r="C19" s="10">
        <f>3^3*2^2-3^0*4^0</f>
        <v>107</v>
      </c>
      <c r="I19" s="10">
        <v>16</v>
      </c>
      <c r="J19" s="38">
        <f t="shared" si="2"/>
        <v>343</v>
      </c>
      <c r="K19" s="10">
        <v>3</v>
      </c>
      <c r="L19" s="10">
        <v>7</v>
      </c>
      <c r="N19" s="10">
        <v>24</v>
      </c>
      <c r="O19" s="38">
        <v>512</v>
      </c>
      <c r="P19" s="10">
        <v>8</v>
      </c>
      <c r="Q19" s="10">
        <f t="shared" si="1"/>
        <v>3</v>
      </c>
    </row>
    <row r="20" spans="1:18">
      <c r="A20" s="10">
        <v>32</v>
      </c>
      <c r="B20" s="10" t="s">
        <v>408</v>
      </c>
      <c r="C20" s="10">
        <f>8*5^0-5^0</f>
        <v>7</v>
      </c>
      <c r="I20" s="10">
        <v>17</v>
      </c>
      <c r="J20" s="38">
        <f t="shared" si="2"/>
        <v>625</v>
      </c>
      <c r="K20" s="10">
        <v>4</v>
      </c>
      <c r="L20" s="10">
        <v>5</v>
      </c>
      <c r="N20" s="10">
        <v>25</v>
      </c>
      <c r="O20" s="38">
        <v>64</v>
      </c>
      <c r="P20" s="10">
        <v>2</v>
      </c>
      <c r="Q20" s="10">
        <f t="shared" si="1"/>
        <v>6</v>
      </c>
    </row>
    <row r="21" spans="1:18">
      <c r="A21" s="10">
        <v>33</v>
      </c>
      <c r="B21" s="10" t="s">
        <v>409</v>
      </c>
      <c r="C21" s="10">
        <f>2^0*3^0+5^0+4*6^0</f>
        <v>6</v>
      </c>
      <c r="I21" s="10">
        <v>18</v>
      </c>
      <c r="J21" s="38">
        <f t="shared" si="2"/>
        <v>16807</v>
      </c>
      <c r="K21" s="10">
        <v>5</v>
      </c>
      <c r="L21" s="10">
        <v>7</v>
      </c>
      <c r="N21" s="10">
        <v>26</v>
      </c>
      <c r="O21" s="38">
        <v>729</v>
      </c>
      <c r="P21" s="10">
        <v>3</v>
      </c>
      <c r="Q21" s="10">
        <f t="shared" si="1"/>
        <v>6</v>
      </c>
    </row>
    <row r="22" spans="1:18">
      <c r="I22" s="10">
        <v>19</v>
      </c>
      <c r="J22" s="38">
        <f t="shared" si="2"/>
        <v>64</v>
      </c>
      <c r="K22" s="10">
        <v>6</v>
      </c>
      <c r="L22" s="10">
        <v>2</v>
      </c>
      <c r="N22" s="10">
        <v>27</v>
      </c>
      <c r="O22" s="38">
        <v>729</v>
      </c>
      <c r="P22" s="10">
        <v>9</v>
      </c>
      <c r="Q22" s="10">
        <f t="shared" si="1"/>
        <v>3</v>
      </c>
    </row>
    <row r="23" spans="1:18">
      <c r="I23" s="10">
        <v>21</v>
      </c>
      <c r="J23" s="38">
        <v>625</v>
      </c>
      <c r="K23" s="10">
        <v>4</v>
      </c>
      <c r="L23" s="10">
        <f>POWER(J23,1/K23)</f>
        <v>4.9999999999999991</v>
      </c>
      <c r="N23" s="10">
        <v>28</v>
      </c>
      <c r="O23" s="38">
        <v>10000</v>
      </c>
      <c r="P23" s="10">
        <v>10</v>
      </c>
      <c r="Q23" s="10">
        <f t="shared" si="1"/>
        <v>4</v>
      </c>
    </row>
    <row r="24" spans="1:18">
      <c r="N24" s="10">
        <v>29</v>
      </c>
      <c r="O24" s="38">
        <v>11</v>
      </c>
      <c r="P24" s="10">
        <v>3</v>
      </c>
      <c r="Q24" s="10">
        <f t="shared" si="1"/>
        <v>2.1826583386441381</v>
      </c>
      <c r="R24" s="10" t="s">
        <v>385</v>
      </c>
    </row>
    <row r="25" spans="1:18">
      <c r="N25" s="10">
        <v>30</v>
      </c>
      <c r="O25" s="38">
        <v>21</v>
      </c>
      <c r="P25" s="10">
        <v>2</v>
      </c>
      <c r="Q25" s="10">
        <f t="shared" si="1"/>
        <v>4.3923174227787607</v>
      </c>
      <c r="R25" s="10" t="s">
        <v>385</v>
      </c>
    </row>
    <row r="26" spans="1:18">
      <c r="A26" s="11" t="s">
        <v>412</v>
      </c>
      <c r="B26" s="11"/>
      <c r="C26" s="11"/>
      <c r="N26" s="10">
        <v>31</v>
      </c>
      <c r="O26" s="38">
        <v>36</v>
      </c>
      <c r="P26" s="10">
        <v>5</v>
      </c>
      <c r="Q26" s="10">
        <f t="shared" si="1"/>
        <v>2.2265655051187569</v>
      </c>
      <c r="R26" s="10" t="s">
        <v>385</v>
      </c>
    </row>
    <row r="27" spans="1:18">
      <c r="A27" s="80" t="s">
        <v>45</v>
      </c>
      <c r="B27" s="80" t="s">
        <v>410</v>
      </c>
      <c r="C27" s="80" t="s">
        <v>411</v>
      </c>
      <c r="N27" s="10">
        <v>34</v>
      </c>
      <c r="O27" s="38">
        <v>81</v>
      </c>
      <c r="P27" s="10">
        <v>3</v>
      </c>
      <c r="Q27" s="10">
        <f t="shared" si="1"/>
        <v>4</v>
      </c>
    </row>
    <row r="28" spans="1:18">
      <c r="A28" s="10">
        <v>1</v>
      </c>
      <c r="B28" s="10">
        <f>A28^2</f>
        <v>1</v>
      </c>
      <c r="C28" s="38">
        <f>A28^3</f>
        <v>1</v>
      </c>
      <c r="N28" s="10">
        <v>35</v>
      </c>
      <c r="O28" s="38">
        <v>512</v>
      </c>
      <c r="P28" s="10">
        <v>8</v>
      </c>
      <c r="Q28" s="10">
        <f t="shared" si="1"/>
        <v>3</v>
      </c>
      <c r="R28" s="81" t="s">
        <v>387</v>
      </c>
    </row>
    <row r="29" spans="1:18">
      <c r="A29" s="10">
        <v>2</v>
      </c>
      <c r="B29" s="10">
        <f t="shared" ref="B29:B47" si="3">A29^2</f>
        <v>4</v>
      </c>
      <c r="C29" s="38">
        <f t="shared" ref="C29:C47" si="4">A29^3</f>
        <v>8</v>
      </c>
      <c r="N29" s="10">
        <v>36</v>
      </c>
      <c r="O29" s="38">
        <v>243</v>
      </c>
      <c r="P29" s="10">
        <v>3</v>
      </c>
      <c r="Q29" s="10">
        <f t="shared" si="1"/>
        <v>4.9999999999999991</v>
      </c>
      <c r="R29" s="81" t="s">
        <v>386</v>
      </c>
    </row>
    <row r="30" spans="1:18">
      <c r="A30" s="10">
        <v>3</v>
      </c>
      <c r="B30" s="10">
        <f t="shared" si="3"/>
        <v>9</v>
      </c>
      <c r="C30" s="38">
        <f t="shared" si="4"/>
        <v>27</v>
      </c>
      <c r="N30" s="10">
        <v>37</v>
      </c>
      <c r="O30" s="38">
        <f>POWER(P30,Q30)</f>
        <v>81</v>
      </c>
      <c r="P30" s="10">
        <v>3</v>
      </c>
      <c r="Q30" s="10">
        <v>4</v>
      </c>
    </row>
    <row r="31" spans="1:18">
      <c r="A31" s="10">
        <v>4</v>
      </c>
      <c r="B31" s="10">
        <f t="shared" si="3"/>
        <v>16</v>
      </c>
      <c r="C31" s="38">
        <f t="shared" si="4"/>
        <v>64</v>
      </c>
      <c r="N31" s="10">
        <v>38</v>
      </c>
      <c r="O31" s="38">
        <f>POWER(P31,Q31)</f>
        <v>64</v>
      </c>
      <c r="P31" s="10">
        <v>2</v>
      </c>
      <c r="Q31" s="10">
        <v>6</v>
      </c>
    </row>
    <row r="32" spans="1:18">
      <c r="A32" s="10">
        <v>5</v>
      </c>
      <c r="B32" s="10">
        <f t="shared" si="3"/>
        <v>25</v>
      </c>
      <c r="C32" s="38">
        <f t="shared" si="4"/>
        <v>125</v>
      </c>
      <c r="N32" s="10">
        <v>39</v>
      </c>
      <c r="O32" s="38">
        <f>POWER(P32,Q32)</f>
        <v>625</v>
      </c>
      <c r="P32" s="10">
        <v>5</v>
      </c>
      <c r="Q32" s="10">
        <v>4</v>
      </c>
    </row>
    <row r="33" spans="1:17">
      <c r="A33" s="10">
        <v>6</v>
      </c>
      <c r="B33" s="10">
        <f t="shared" si="3"/>
        <v>36</v>
      </c>
      <c r="C33" s="38">
        <f t="shared" si="4"/>
        <v>216</v>
      </c>
      <c r="N33" s="10">
        <v>40</v>
      </c>
      <c r="O33" s="38">
        <f>POWER(P33,Q33)</f>
        <v>512</v>
      </c>
      <c r="P33" s="10">
        <v>2</v>
      </c>
      <c r="Q33" s="10">
        <v>9</v>
      </c>
    </row>
    <row r="34" spans="1:17">
      <c r="A34" s="10">
        <v>7</v>
      </c>
      <c r="B34" s="10">
        <f t="shared" si="3"/>
        <v>49</v>
      </c>
      <c r="C34" s="38">
        <f t="shared" si="4"/>
        <v>343</v>
      </c>
    </row>
    <row r="35" spans="1:17">
      <c r="A35" s="10">
        <v>8</v>
      </c>
      <c r="B35" s="10">
        <f t="shared" si="3"/>
        <v>64</v>
      </c>
      <c r="C35" s="38">
        <f t="shared" si="4"/>
        <v>512</v>
      </c>
    </row>
    <row r="36" spans="1:17">
      <c r="A36" s="10">
        <v>9</v>
      </c>
      <c r="B36" s="10">
        <f t="shared" si="3"/>
        <v>81</v>
      </c>
      <c r="C36" s="38">
        <f t="shared" si="4"/>
        <v>729</v>
      </c>
    </row>
    <row r="37" spans="1:17">
      <c r="A37" s="10">
        <v>10</v>
      </c>
      <c r="B37" s="10">
        <f t="shared" si="3"/>
        <v>100</v>
      </c>
      <c r="C37" s="38">
        <f t="shared" si="4"/>
        <v>1000</v>
      </c>
    </row>
    <row r="38" spans="1:17">
      <c r="A38" s="10">
        <v>11</v>
      </c>
      <c r="B38" s="10">
        <f t="shared" si="3"/>
        <v>121</v>
      </c>
      <c r="C38" s="38">
        <f t="shared" si="4"/>
        <v>1331</v>
      </c>
    </row>
    <row r="39" spans="1:17">
      <c r="A39" s="10">
        <v>12</v>
      </c>
      <c r="B39" s="10">
        <f t="shared" si="3"/>
        <v>144</v>
      </c>
      <c r="C39" s="38">
        <f t="shared" si="4"/>
        <v>1728</v>
      </c>
    </row>
    <row r="40" spans="1:17">
      <c r="A40" s="10">
        <v>13</v>
      </c>
      <c r="B40" s="10">
        <f t="shared" si="3"/>
        <v>169</v>
      </c>
      <c r="C40" s="38">
        <f t="shared" si="4"/>
        <v>2197</v>
      </c>
    </row>
    <row r="41" spans="1:17">
      <c r="A41" s="10">
        <v>14</v>
      </c>
      <c r="B41" s="10">
        <f t="shared" si="3"/>
        <v>196</v>
      </c>
      <c r="C41" s="38">
        <f t="shared" si="4"/>
        <v>2744</v>
      </c>
    </row>
    <row r="42" spans="1:17">
      <c r="A42" s="10">
        <v>15</v>
      </c>
      <c r="B42" s="10">
        <f t="shared" si="3"/>
        <v>225</v>
      </c>
      <c r="C42" s="38">
        <f t="shared" si="4"/>
        <v>3375</v>
      </c>
    </row>
    <row r="43" spans="1:17">
      <c r="A43" s="10">
        <v>16</v>
      </c>
      <c r="B43" s="10">
        <f t="shared" si="3"/>
        <v>256</v>
      </c>
      <c r="C43" s="38">
        <f t="shared" si="4"/>
        <v>4096</v>
      </c>
    </row>
    <row r="44" spans="1:17">
      <c r="A44" s="10">
        <v>17</v>
      </c>
      <c r="B44" s="10">
        <f t="shared" si="3"/>
        <v>289</v>
      </c>
      <c r="C44" s="38">
        <f t="shared" si="4"/>
        <v>4913</v>
      </c>
    </row>
    <row r="45" spans="1:17">
      <c r="A45" s="10">
        <v>18</v>
      </c>
      <c r="B45" s="10">
        <f t="shared" si="3"/>
        <v>324</v>
      </c>
      <c r="C45" s="38">
        <f t="shared" si="4"/>
        <v>5832</v>
      </c>
    </row>
    <row r="46" spans="1:17">
      <c r="A46" s="10">
        <v>19</v>
      </c>
      <c r="B46" s="10">
        <f t="shared" si="3"/>
        <v>361</v>
      </c>
      <c r="C46" s="38">
        <f t="shared" si="4"/>
        <v>6859</v>
      </c>
    </row>
    <row r="47" spans="1:17">
      <c r="A47" s="10">
        <v>20</v>
      </c>
      <c r="B47" s="10">
        <f t="shared" si="3"/>
        <v>400</v>
      </c>
      <c r="C47" s="38">
        <f t="shared" si="4"/>
        <v>8000</v>
      </c>
    </row>
  </sheetData>
  <mergeCells count="5">
    <mergeCell ref="N2:Q2"/>
    <mergeCell ref="I2:L2"/>
    <mergeCell ref="A26:C26"/>
    <mergeCell ref="A2:C2"/>
    <mergeCell ref="E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K39"/>
  <sheetViews>
    <sheetView workbookViewId="0"/>
  </sheetViews>
  <sheetFormatPr baseColWidth="10" defaultRowHeight="15"/>
  <cols>
    <col min="1" max="2" width="10.83203125" style="10"/>
    <col min="3" max="3" width="81" style="10" customWidth="1"/>
    <col min="4" max="6" width="10.83203125" style="10"/>
    <col min="7" max="7" width="9" style="10" customWidth="1"/>
    <col min="8" max="8" width="9.5" style="10" customWidth="1"/>
    <col min="9" max="16384" width="10.83203125" style="10"/>
  </cols>
  <sheetData>
    <row r="1" spans="1:11" ht="100" customHeight="1"/>
    <row r="2" spans="1:11">
      <c r="A2" s="11" t="s">
        <v>47</v>
      </c>
      <c r="B2" s="11"/>
      <c r="C2" s="11"/>
      <c r="F2" s="11" t="s">
        <v>25</v>
      </c>
      <c r="G2" s="11"/>
      <c r="H2" s="11"/>
    </row>
    <row r="3" spans="1:11" ht="32.25" customHeight="1">
      <c r="A3" s="31" t="s">
        <v>4</v>
      </c>
      <c r="B3" s="31" t="s">
        <v>49</v>
      </c>
      <c r="C3" s="31" t="s">
        <v>48</v>
      </c>
      <c r="F3" s="31" t="s">
        <v>4</v>
      </c>
      <c r="G3" s="31" t="s">
        <v>45</v>
      </c>
      <c r="H3" s="31" t="s">
        <v>46</v>
      </c>
    </row>
    <row r="4" spans="1:11" ht="18.75" customHeight="1">
      <c r="A4" s="10">
        <v>1</v>
      </c>
      <c r="B4" s="10">
        <v>50</v>
      </c>
      <c r="C4" s="59" t="str">
        <f>Primos(B4)</f>
        <v>1, 2, 3, 5, 7, 11, 13, 17, 19, 23, 29, 31, 37, 41, 43, 47</v>
      </c>
      <c r="F4" s="10">
        <v>1</v>
      </c>
      <c r="G4" s="38">
        <v>97</v>
      </c>
      <c r="H4" s="36" t="str">
        <f>TestPrime(G4)</f>
        <v>Sí</v>
      </c>
      <c r="K4" s="36"/>
    </row>
    <row r="5" spans="1:11" ht="21" customHeight="1">
      <c r="A5" s="10">
        <v>2</v>
      </c>
      <c r="B5" s="10">
        <v>100</v>
      </c>
      <c r="C5" s="59" t="str">
        <f>Primos(B5)</f>
        <v>1, 2, 3, 5, 7, 11, 13, 17, 19, 23, 29, 31, 37, 41, 43, 47, 53, 59, 61, 67, 71, 73, 79, 83, 89, 97</v>
      </c>
      <c r="F5" s="10">
        <v>2</v>
      </c>
      <c r="G5" s="38">
        <v>139</v>
      </c>
      <c r="H5" s="36" t="str">
        <f t="shared" ref="H5:H35" si="0">TestPrime(G5)</f>
        <v>Sí</v>
      </c>
      <c r="K5" s="36"/>
    </row>
    <row r="6" spans="1:11" ht="30" customHeight="1">
      <c r="A6" s="10">
        <v>3</v>
      </c>
      <c r="B6" s="10">
        <v>200</v>
      </c>
      <c r="C6" s="59" t="str">
        <f>Primos(B6)</f>
        <v>1, 2, 3, 5, 7, 11, 13, 17, 19, 23, 29, 31, 37, 41, 43, 47, 53, 59, 61, 67, 71, 73, 79, 83, 89, 97, 101, 103, 107, 109, 113, 127, 131, 137, 139, 149, 151, 157, 163, 167, 173, 179, 181, 191, 193, 197, 199</v>
      </c>
      <c r="F6" s="10">
        <v>3</v>
      </c>
      <c r="G6" s="38">
        <v>169</v>
      </c>
      <c r="H6" s="36" t="str">
        <f t="shared" si="0"/>
        <v>No</v>
      </c>
      <c r="K6" s="36"/>
    </row>
    <row r="7" spans="1:11" ht="46.5" customHeight="1">
      <c r="A7" s="10">
        <v>4</v>
      </c>
      <c r="B7" s="10">
        <v>300</v>
      </c>
      <c r="C7" s="59" t="str">
        <f>Primos(B7)</f>
        <v>1, 2, 3, 5, 7, 11, 13, 17, 19, 23, 29, 31, 37, 41, 43, 47, 53, 59, 61, 67, 71, 73, 79, 83, 89, 97, 101, 103, 107, 109, 113, 127, 131, 137, 139, 149, 151, 157, 163, 167, 173, 179, 181, 191, 193, 197, 199, 211, 223, 227, 229, 233, 239, 241, 251, 257, 263, 269, 271, 277, 281, 283, 293</v>
      </c>
      <c r="F7" s="10">
        <v>4</v>
      </c>
      <c r="G7" s="38">
        <v>197</v>
      </c>
      <c r="H7" s="36" t="str">
        <f t="shared" si="0"/>
        <v>Sí</v>
      </c>
      <c r="K7" s="36"/>
    </row>
    <row r="8" spans="1:11">
      <c r="C8" s="59"/>
      <c r="F8" s="10">
        <v>5</v>
      </c>
      <c r="G8" s="38">
        <v>211</v>
      </c>
      <c r="H8" s="36" t="str">
        <f t="shared" si="0"/>
        <v>Sí</v>
      </c>
      <c r="K8" s="36"/>
    </row>
    <row r="9" spans="1:11">
      <c r="F9" s="10">
        <v>6</v>
      </c>
      <c r="G9" s="38">
        <v>221</v>
      </c>
      <c r="H9" s="36" t="str">
        <f t="shared" si="0"/>
        <v>No</v>
      </c>
      <c r="K9" s="36"/>
    </row>
    <row r="10" spans="1:11">
      <c r="F10" s="10">
        <v>7</v>
      </c>
      <c r="G10" s="38">
        <v>229</v>
      </c>
      <c r="H10" s="36" t="str">
        <f t="shared" si="0"/>
        <v>Sí</v>
      </c>
      <c r="K10" s="36"/>
    </row>
    <row r="11" spans="1:11">
      <c r="F11" s="10">
        <v>8</v>
      </c>
      <c r="G11" s="38">
        <v>239</v>
      </c>
      <c r="H11" s="36" t="str">
        <f t="shared" si="0"/>
        <v>Sí</v>
      </c>
      <c r="K11" s="36"/>
    </row>
    <row r="12" spans="1:11">
      <c r="F12" s="10">
        <v>9</v>
      </c>
      <c r="G12" s="38">
        <v>259</v>
      </c>
      <c r="H12" s="36" t="str">
        <f t="shared" si="0"/>
        <v>No</v>
      </c>
      <c r="K12" s="36"/>
    </row>
    <row r="13" spans="1:11">
      <c r="F13" s="10">
        <v>10</v>
      </c>
      <c r="G13" s="38">
        <v>271</v>
      </c>
      <c r="H13" s="36" t="str">
        <f t="shared" si="0"/>
        <v>Sí</v>
      </c>
      <c r="K13" s="36"/>
    </row>
    <row r="14" spans="1:11">
      <c r="F14" s="10">
        <v>11</v>
      </c>
      <c r="G14" s="38">
        <v>289</v>
      </c>
      <c r="H14" s="36" t="str">
        <f t="shared" si="0"/>
        <v>No</v>
      </c>
      <c r="K14" s="36"/>
    </row>
    <row r="15" spans="1:11">
      <c r="F15" s="10">
        <v>12</v>
      </c>
      <c r="G15" s="38">
        <v>307</v>
      </c>
      <c r="H15" s="36" t="str">
        <f t="shared" si="0"/>
        <v>Sí</v>
      </c>
      <c r="K15" s="36"/>
    </row>
    <row r="16" spans="1:11">
      <c r="F16" s="10">
        <v>13</v>
      </c>
      <c r="G16" s="38">
        <v>361</v>
      </c>
      <c r="H16" s="36" t="str">
        <f t="shared" si="0"/>
        <v>No</v>
      </c>
      <c r="K16" s="36"/>
    </row>
    <row r="17" spans="6:11">
      <c r="F17" s="10">
        <v>14</v>
      </c>
      <c r="G17" s="38">
        <v>397</v>
      </c>
      <c r="H17" s="36" t="str">
        <f t="shared" si="0"/>
        <v>Sí</v>
      </c>
      <c r="K17" s="36"/>
    </row>
    <row r="18" spans="6:11">
      <c r="F18" s="10">
        <v>15</v>
      </c>
      <c r="G18" s="38">
        <v>541</v>
      </c>
      <c r="H18" s="36" t="str">
        <f t="shared" si="0"/>
        <v>Sí</v>
      </c>
      <c r="K18" s="36"/>
    </row>
    <row r="19" spans="6:11">
      <c r="F19" s="10">
        <v>16</v>
      </c>
      <c r="G19" s="38">
        <v>529</v>
      </c>
      <c r="H19" s="36" t="str">
        <f t="shared" si="0"/>
        <v>No</v>
      </c>
      <c r="K19" s="36"/>
    </row>
    <row r="20" spans="6:11">
      <c r="F20" s="10">
        <v>17</v>
      </c>
      <c r="G20" s="38">
        <v>601</v>
      </c>
      <c r="H20" s="36" t="str">
        <f t="shared" si="0"/>
        <v>Sí</v>
      </c>
      <c r="K20" s="36"/>
    </row>
    <row r="21" spans="6:11">
      <c r="F21" s="10">
        <v>18</v>
      </c>
      <c r="G21" s="38">
        <v>683</v>
      </c>
      <c r="H21" s="36" t="str">
        <f t="shared" si="0"/>
        <v>Sí</v>
      </c>
      <c r="K21" s="36"/>
    </row>
    <row r="22" spans="6:11">
      <c r="F22" s="10">
        <v>19</v>
      </c>
      <c r="G22" s="38">
        <v>713</v>
      </c>
      <c r="H22" s="36" t="str">
        <f t="shared" si="0"/>
        <v>No</v>
      </c>
      <c r="K22" s="36"/>
    </row>
    <row r="23" spans="6:11">
      <c r="F23" s="10">
        <v>20</v>
      </c>
      <c r="G23" s="38">
        <v>751</v>
      </c>
      <c r="H23" s="36" t="str">
        <f t="shared" si="0"/>
        <v>Sí</v>
      </c>
      <c r="K23" s="36"/>
    </row>
    <row r="24" spans="6:11">
      <c r="F24" s="10">
        <v>21</v>
      </c>
      <c r="G24" s="38">
        <v>811</v>
      </c>
      <c r="H24" s="36" t="str">
        <f t="shared" si="0"/>
        <v>Sí</v>
      </c>
      <c r="K24" s="36"/>
    </row>
    <row r="25" spans="6:11">
      <c r="F25" s="10">
        <v>22</v>
      </c>
      <c r="G25" s="38">
        <v>841</v>
      </c>
      <c r="H25" s="36" t="str">
        <f t="shared" si="0"/>
        <v>No</v>
      </c>
      <c r="K25" s="36"/>
    </row>
    <row r="26" spans="6:11">
      <c r="F26" s="10">
        <v>23</v>
      </c>
      <c r="G26" s="38">
        <v>881</v>
      </c>
      <c r="H26" s="36" t="str">
        <f t="shared" si="0"/>
        <v>Sí</v>
      </c>
      <c r="K26" s="36"/>
    </row>
    <row r="27" spans="6:11">
      <c r="F27" s="10">
        <v>24</v>
      </c>
      <c r="G27" s="38">
        <v>961</v>
      </c>
      <c r="H27" s="36" t="str">
        <f t="shared" si="0"/>
        <v>No</v>
      </c>
      <c r="K27" s="36"/>
    </row>
    <row r="28" spans="6:11">
      <c r="F28" s="10">
        <v>25</v>
      </c>
      <c r="G28" s="38">
        <v>997</v>
      </c>
      <c r="H28" s="36" t="str">
        <f t="shared" si="0"/>
        <v>Sí</v>
      </c>
      <c r="K28" s="36"/>
    </row>
    <row r="29" spans="6:11">
      <c r="F29" s="10">
        <v>26</v>
      </c>
      <c r="G29" s="38">
        <v>1009</v>
      </c>
      <c r="H29" s="36" t="str">
        <f t="shared" si="0"/>
        <v>Sí</v>
      </c>
      <c r="K29" s="36"/>
    </row>
    <row r="30" spans="6:11">
      <c r="F30" s="10">
        <v>27</v>
      </c>
      <c r="G30" s="38">
        <v>1099</v>
      </c>
      <c r="H30" s="36" t="str">
        <f t="shared" si="0"/>
        <v>No</v>
      </c>
      <c r="K30" s="36"/>
    </row>
    <row r="31" spans="6:11">
      <c r="F31" s="10">
        <v>28</v>
      </c>
      <c r="G31" s="38">
        <v>1201</v>
      </c>
      <c r="H31" s="36" t="str">
        <f t="shared" si="0"/>
        <v>Sí</v>
      </c>
      <c r="K31" s="36"/>
    </row>
    <row r="32" spans="6:11">
      <c r="F32" s="10">
        <v>29</v>
      </c>
      <c r="G32" s="38">
        <v>1207</v>
      </c>
      <c r="H32" s="36" t="str">
        <f t="shared" si="0"/>
        <v>No</v>
      </c>
      <c r="K32" s="36"/>
    </row>
    <row r="33" spans="6:11">
      <c r="F33" s="10">
        <v>30</v>
      </c>
      <c r="G33" s="38">
        <v>1301</v>
      </c>
      <c r="H33" s="36" t="str">
        <f t="shared" si="0"/>
        <v>Sí</v>
      </c>
      <c r="K33" s="36"/>
    </row>
    <row r="34" spans="6:11">
      <c r="F34" s="10">
        <v>31</v>
      </c>
      <c r="G34" s="38">
        <v>1309</v>
      </c>
      <c r="H34" s="36" t="str">
        <f t="shared" si="0"/>
        <v>No</v>
      </c>
      <c r="K34" s="36"/>
    </row>
    <row r="35" spans="6:11">
      <c r="F35" s="10">
        <v>32</v>
      </c>
      <c r="G35" s="38">
        <v>2099</v>
      </c>
      <c r="H35" s="36" t="str">
        <f t="shared" si="0"/>
        <v>Sí</v>
      </c>
      <c r="K35" s="36"/>
    </row>
    <row r="36" spans="6:11">
      <c r="G36" s="38"/>
      <c r="H36" s="36"/>
    </row>
    <row r="37" spans="6:11">
      <c r="G37" s="38"/>
      <c r="H37" s="36"/>
    </row>
    <row r="38" spans="6:11">
      <c r="G38" s="38"/>
      <c r="H38" s="36"/>
    </row>
    <row r="39" spans="6:11">
      <c r="H39" s="36"/>
    </row>
  </sheetData>
  <mergeCells count="2">
    <mergeCell ref="F2:H2"/>
    <mergeCell ref="A2:C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J42"/>
  <sheetViews>
    <sheetView workbookViewId="0"/>
  </sheetViews>
  <sheetFormatPr baseColWidth="10" defaultRowHeight="15"/>
  <cols>
    <col min="1" max="2" width="10.83203125" style="10"/>
    <col min="3" max="3" width="17.5" style="10" customWidth="1"/>
    <col min="4" max="7" width="10.83203125" style="10"/>
    <col min="8" max="8" width="23" style="10" customWidth="1"/>
    <col min="9" max="9" width="10.83203125" style="10"/>
    <col min="10" max="10" width="125" style="10" customWidth="1"/>
    <col min="11" max="16384" width="10.83203125" style="10"/>
  </cols>
  <sheetData>
    <row r="1" spans="1:10" ht="100" customHeight="1"/>
    <row r="2" spans="1:10">
      <c r="A2" s="11" t="s">
        <v>25</v>
      </c>
      <c r="B2" s="11"/>
      <c r="C2" s="11"/>
      <c r="F2" s="11" t="s">
        <v>44</v>
      </c>
      <c r="G2" s="11"/>
      <c r="H2" s="11"/>
      <c r="I2" s="11"/>
      <c r="J2" s="11"/>
    </row>
    <row r="3" spans="1:10" ht="48">
      <c r="A3" s="31" t="s">
        <v>4</v>
      </c>
      <c r="B3" s="31" t="s">
        <v>26</v>
      </c>
      <c r="C3" s="31" t="s">
        <v>27</v>
      </c>
      <c r="F3" s="31" t="s">
        <v>4</v>
      </c>
      <c r="G3" s="31" t="s">
        <v>45</v>
      </c>
      <c r="H3" s="31" t="s">
        <v>38</v>
      </c>
      <c r="I3" s="31" t="s">
        <v>39</v>
      </c>
      <c r="J3" s="31" t="s">
        <v>40</v>
      </c>
    </row>
    <row r="4" spans="1:10">
      <c r="A4" s="10">
        <v>1</v>
      </c>
      <c r="B4" s="38">
        <v>64</v>
      </c>
      <c r="C4" s="36" t="str">
        <f>factores(B4)</f>
        <v>2*2*2*2*2*2*1</v>
      </c>
      <c r="F4" s="10">
        <v>1</v>
      </c>
      <c r="G4" s="38">
        <v>54</v>
      </c>
      <c r="H4" s="36" t="str">
        <f>factores(G4)</f>
        <v>3*3*3*2*1</v>
      </c>
      <c r="I4" s="10">
        <f t="shared" ref="I4:I33" si="0">Combinac(G4)</f>
        <v>8</v>
      </c>
      <c r="J4" s="36" t="str">
        <f>TotalComb(G4)</f>
        <v>1, 2, 3, 6, 9, 18, 27, 54</v>
      </c>
    </row>
    <row r="5" spans="1:10">
      <c r="A5" s="10">
        <v>2</v>
      </c>
      <c r="B5" s="38">
        <v>91</v>
      </c>
      <c r="C5" s="36" t="str">
        <f t="shared" ref="C5:C42" si="1">factores(B5)</f>
        <v>13*7*1</v>
      </c>
      <c r="F5" s="10">
        <v>2</v>
      </c>
      <c r="G5" s="38">
        <v>162</v>
      </c>
      <c r="H5" s="36" t="str">
        <f t="shared" ref="H5:H33" si="2">factores(G5)</f>
        <v>3*3*3*3*2*1</v>
      </c>
      <c r="I5" s="10">
        <f t="shared" si="0"/>
        <v>10</v>
      </c>
      <c r="J5" s="36" t="str">
        <f t="shared" ref="J5:J33" si="3">TotalComb(G5)</f>
        <v>1, 2, 3, 6, 9, 18, 27, 54, 81, 162</v>
      </c>
    </row>
    <row r="6" spans="1:10">
      <c r="A6" s="10">
        <v>3</v>
      </c>
      <c r="B6" s="38">
        <v>96</v>
      </c>
      <c r="C6" s="36" t="str">
        <f t="shared" si="1"/>
        <v>3*2*2*2*2*2*1</v>
      </c>
      <c r="F6" s="10">
        <v>3</v>
      </c>
      <c r="G6" s="38">
        <v>150</v>
      </c>
      <c r="H6" s="36" t="str">
        <f t="shared" si="2"/>
        <v>5*5*3*2*1</v>
      </c>
      <c r="I6" s="10">
        <f t="shared" si="0"/>
        <v>12</v>
      </c>
      <c r="J6" s="36" t="str">
        <f t="shared" si="3"/>
        <v>1, 2, 3, 6, 5, 10, 15, 30, 25, 50, 75, 150</v>
      </c>
    </row>
    <row r="7" spans="1:10">
      <c r="A7" s="10">
        <v>4</v>
      </c>
      <c r="B7" s="38">
        <v>121</v>
      </c>
      <c r="C7" s="36" t="str">
        <f t="shared" si="1"/>
        <v>11*11*1</v>
      </c>
      <c r="F7" s="10">
        <v>4</v>
      </c>
      <c r="G7" s="38">
        <v>1029</v>
      </c>
      <c r="H7" s="36" t="str">
        <f t="shared" si="2"/>
        <v>7*7*7*3*1</v>
      </c>
      <c r="I7" s="10">
        <f t="shared" si="0"/>
        <v>8</v>
      </c>
      <c r="J7" s="36" t="str">
        <f t="shared" si="3"/>
        <v>1, 3, 7, 21, 49, 147, 343, 1029</v>
      </c>
    </row>
    <row r="8" spans="1:10">
      <c r="A8" s="10">
        <v>5</v>
      </c>
      <c r="B8" s="38">
        <v>160</v>
      </c>
      <c r="C8" s="36" t="str">
        <f t="shared" si="1"/>
        <v>5*2*2*2*2*2*1</v>
      </c>
      <c r="F8" s="10">
        <v>5</v>
      </c>
      <c r="G8" s="38">
        <v>210</v>
      </c>
      <c r="H8" s="36" t="str">
        <f t="shared" si="2"/>
        <v>7*5*3*2*1</v>
      </c>
      <c r="I8" s="10">
        <f t="shared" si="0"/>
        <v>16</v>
      </c>
      <c r="J8" s="36" t="str">
        <f t="shared" si="3"/>
        <v>1, 2, 3, 6, 5, 10, 15, 30, 7, 14, 21, 42, 35, 70, 105, 210</v>
      </c>
    </row>
    <row r="9" spans="1:10">
      <c r="A9" s="10">
        <v>6</v>
      </c>
      <c r="B9" s="38">
        <v>169</v>
      </c>
      <c r="C9" s="36" t="str">
        <f t="shared" si="1"/>
        <v>13*13*1</v>
      </c>
      <c r="F9" s="10">
        <v>6</v>
      </c>
      <c r="G9" s="38">
        <v>315</v>
      </c>
      <c r="H9" s="36" t="str">
        <f t="shared" si="2"/>
        <v>7*5*3*3*1</v>
      </c>
      <c r="I9" s="10">
        <f t="shared" si="0"/>
        <v>12</v>
      </c>
      <c r="J9" s="36" t="str">
        <f t="shared" si="3"/>
        <v>1, 3, 9, 5, 15, 45, 7, 21, 63, 35, 105, 315</v>
      </c>
    </row>
    <row r="10" spans="1:10">
      <c r="A10" s="10">
        <v>7</v>
      </c>
      <c r="B10" s="38">
        <v>182</v>
      </c>
      <c r="C10" s="36" t="str">
        <f t="shared" si="1"/>
        <v>13*7*2*1</v>
      </c>
      <c r="F10" s="10">
        <v>7</v>
      </c>
      <c r="G10" s="38">
        <v>130</v>
      </c>
      <c r="H10" s="36" t="str">
        <f t="shared" si="2"/>
        <v>13*5*2*1</v>
      </c>
      <c r="I10" s="10">
        <f t="shared" si="0"/>
        <v>8</v>
      </c>
      <c r="J10" s="36" t="str">
        <f t="shared" si="3"/>
        <v>1, 2, 5, 10, 13, 26, 65, 130</v>
      </c>
    </row>
    <row r="11" spans="1:10">
      <c r="A11" s="10">
        <v>8</v>
      </c>
      <c r="B11" s="38">
        <v>289</v>
      </c>
      <c r="C11" s="36" t="str">
        <f t="shared" si="1"/>
        <v>17*17*1</v>
      </c>
      <c r="F11" s="10">
        <v>8</v>
      </c>
      <c r="G11" s="38">
        <v>340</v>
      </c>
      <c r="H11" s="36" t="str">
        <f t="shared" si="2"/>
        <v>17*5*2*2*1</v>
      </c>
      <c r="I11" s="10">
        <f t="shared" si="0"/>
        <v>12</v>
      </c>
      <c r="J11" s="36" t="str">
        <f t="shared" si="3"/>
        <v>1, 2, 4, 5, 10, 20, 17, 34, 68, 85, 170, 340</v>
      </c>
    </row>
    <row r="12" spans="1:10">
      <c r="A12" s="10">
        <v>9</v>
      </c>
      <c r="B12" s="38">
        <v>306</v>
      </c>
      <c r="C12" s="36" t="str">
        <f t="shared" si="1"/>
        <v>17*3*3*2*1</v>
      </c>
      <c r="F12" s="10">
        <v>9</v>
      </c>
      <c r="G12" s="38">
        <v>216</v>
      </c>
      <c r="H12" s="36" t="str">
        <f t="shared" si="2"/>
        <v>3*3*3*2*2*2*1</v>
      </c>
      <c r="I12" s="10">
        <f t="shared" si="0"/>
        <v>16</v>
      </c>
      <c r="J12" s="36" t="str">
        <f t="shared" si="3"/>
        <v>1, 2, 4, 8, 3, 6, 12, 24, 9, 18, 36, 72, 27, 54, 108, 216</v>
      </c>
    </row>
    <row r="13" spans="1:10">
      <c r="A13" s="10">
        <v>10</v>
      </c>
      <c r="B13" s="38">
        <v>385</v>
      </c>
      <c r="C13" s="36" t="str">
        <f t="shared" si="1"/>
        <v>11*7*5*1</v>
      </c>
      <c r="F13" s="10">
        <v>10</v>
      </c>
      <c r="G13" s="38">
        <v>1521</v>
      </c>
      <c r="H13" s="36" t="str">
        <f t="shared" si="2"/>
        <v>13*13*3*3*1</v>
      </c>
      <c r="I13" s="10">
        <f t="shared" si="0"/>
        <v>9</v>
      </c>
      <c r="J13" s="36" t="str">
        <f t="shared" si="3"/>
        <v>1, 3, 9, 13, 39, 117, 169, 507, 1521</v>
      </c>
    </row>
    <row r="14" spans="1:10">
      <c r="A14" s="10">
        <v>11</v>
      </c>
      <c r="B14" s="38">
        <v>341</v>
      </c>
      <c r="C14" s="36" t="str">
        <f t="shared" si="1"/>
        <v>31*11*1</v>
      </c>
      <c r="F14" s="10">
        <v>11</v>
      </c>
      <c r="G14" s="38">
        <v>108</v>
      </c>
      <c r="H14" s="36" t="str">
        <f t="shared" si="2"/>
        <v>3*3*3*2*2*1</v>
      </c>
      <c r="I14" s="10">
        <f t="shared" si="0"/>
        <v>12</v>
      </c>
      <c r="J14" s="36" t="str">
        <f t="shared" si="3"/>
        <v>1, 2, 4, 3, 6, 12, 9, 18, 36, 27, 54, 108</v>
      </c>
    </row>
    <row r="15" spans="1:10">
      <c r="A15" s="10">
        <v>12</v>
      </c>
      <c r="B15" s="38">
        <v>377</v>
      </c>
      <c r="C15" s="36" t="str">
        <f t="shared" si="1"/>
        <v>29*13*1</v>
      </c>
      <c r="F15" s="10">
        <v>12</v>
      </c>
      <c r="G15" s="38">
        <v>204</v>
      </c>
      <c r="H15" s="36" t="str">
        <f t="shared" si="2"/>
        <v>17*3*2*2*1</v>
      </c>
      <c r="I15" s="10">
        <f t="shared" si="0"/>
        <v>12</v>
      </c>
      <c r="J15" s="36" t="str">
        <f t="shared" si="3"/>
        <v>1, 2, 4, 3, 6, 12, 17, 34, 68, 51, 102, 204</v>
      </c>
    </row>
    <row r="16" spans="1:10">
      <c r="A16" s="10">
        <v>13</v>
      </c>
      <c r="B16" s="38">
        <v>408</v>
      </c>
      <c r="C16" s="36" t="str">
        <f t="shared" si="1"/>
        <v>17*3*2*2*2*1</v>
      </c>
      <c r="F16" s="10">
        <v>13</v>
      </c>
      <c r="G16" s="38">
        <v>540</v>
      </c>
      <c r="H16" s="36" t="str">
        <f t="shared" si="2"/>
        <v>5*3*3*3*2*2*1</v>
      </c>
      <c r="I16" s="10">
        <f t="shared" si="0"/>
        <v>24</v>
      </c>
      <c r="J16" s="36" t="str">
        <f t="shared" si="3"/>
        <v>1, 2, 4, 3, 6, 12, 9, 18, 36, 27, 54, 108, 5, 10, 20, 15, 30, 60, 45, 90, 180, 135, 270, 540</v>
      </c>
    </row>
    <row r="17" spans="1:10">
      <c r="A17" s="10">
        <v>14</v>
      </c>
      <c r="B17" s="38">
        <v>441</v>
      </c>
      <c r="C17" s="36" t="str">
        <f t="shared" si="1"/>
        <v>7*7*3*3*1</v>
      </c>
      <c r="F17" s="10">
        <v>14</v>
      </c>
      <c r="G17" s="38">
        <v>735</v>
      </c>
      <c r="H17" s="36" t="str">
        <f t="shared" si="2"/>
        <v>7*7*5*3*1</v>
      </c>
      <c r="I17" s="10">
        <f t="shared" si="0"/>
        <v>12</v>
      </c>
      <c r="J17" s="36" t="str">
        <f t="shared" si="3"/>
        <v>1, 3, 5, 15, 7, 21, 35, 105, 49, 147, 245, 735</v>
      </c>
    </row>
    <row r="18" spans="1:10">
      <c r="A18" s="10">
        <v>15</v>
      </c>
      <c r="B18" s="38">
        <v>507</v>
      </c>
      <c r="C18" s="36" t="str">
        <f t="shared" si="1"/>
        <v>13*13*3*1</v>
      </c>
      <c r="F18" s="10">
        <v>15</v>
      </c>
      <c r="G18" s="38">
        <v>1080</v>
      </c>
      <c r="H18" s="36" t="str">
        <f t="shared" si="2"/>
        <v>5*3*3*3*2*2*2*1</v>
      </c>
      <c r="I18" s="10">
        <f t="shared" si="0"/>
        <v>32</v>
      </c>
      <c r="J18" s="36" t="str">
        <f t="shared" si="3"/>
        <v>1, 2, 4, 8, 3, 6, 12, 24, 9, 18, 36, 72, 27, 54, 108, 216, 5, 10, 20, 40, 15, 30, 60, 120, 45, 90, 180, 360, 135, 270, 540, 1080</v>
      </c>
    </row>
    <row r="19" spans="1:10">
      <c r="A19" s="10">
        <v>16</v>
      </c>
      <c r="B19" s="38">
        <v>529</v>
      </c>
      <c r="C19" s="36" t="str">
        <f t="shared" si="1"/>
        <v>23*23*1</v>
      </c>
      <c r="F19" s="10">
        <v>16</v>
      </c>
      <c r="G19" s="38">
        <v>2040</v>
      </c>
      <c r="H19" s="36" t="str">
        <f t="shared" si="2"/>
        <v>17*5*3*2*2*2*1</v>
      </c>
      <c r="I19" s="10">
        <f t="shared" si="0"/>
        <v>32</v>
      </c>
      <c r="J19" s="36" t="str">
        <f t="shared" si="3"/>
        <v>1, 2, 4, 8, 3, 6, 12, 24, 5, 10, 20, 40, 15, 30, 60, 120, 17, 34, 68, 136, 51, 102, 204, 408, 85, 170, 340, 680, 255, 510, 1020, 2040</v>
      </c>
    </row>
    <row r="20" spans="1:10">
      <c r="A20" s="10">
        <v>17</v>
      </c>
      <c r="B20" s="38">
        <v>686</v>
      </c>
      <c r="C20" s="36" t="str">
        <f t="shared" si="1"/>
        <v>7*7*7*2*1</v>
      </c>
      <c r="F20" s="10">
        <v>17</v>
      </c>
      <c r="G20" s="38">
        <v>3366</v>
      </c>
      <c r="H20" s="36" t="str">
        <f t="shared" si="2"/>
        <v>17*11*3*3*2*1</v>
      </c>
      <c r="I20" s="10">
        <f t="shared" si="0"/>
        <v>24</v>
      </c>
      <c r="J20" s="36" t="str">
        <f t="shared" si="3"/>
        <v>1, 2, 3, 6, 9, 18, 11, 22, 33, 66, 99, 198, 17, 34, 51, 102, 153, 306, 187, 374, 561, 1122, 1683, 3366</v>
      </c>
    </row>
    <row r="21" spans="1:10">
      <c r="A21" s="10">
        <v>18</v>
      </c>
      <c r="B21" s="38">
        <v>861</v>
      </c>
      <c r="C21" s="36" t="str">
        <f t="shared" si="1"/>
        <v>41*7*3*1</v>
      </c>
      <c r="F21" s="10">
        <v>18</v>
      </c>
      <c r="G21" s="38">
        <v>4020</v>
      </c>
      <c r="H21" s="36" t="str">
        <f t="shared" si="2"/>
        <v>67*5*3*2*2*1</v>
      </c>
      <c r="I21" s="10">
        <f t="shared" si="0"/>
        <v>24</v>
      </c>
      <c r="J21" s="36" t="str">
        <f t="shared" si="3"/>
        <v>1, 2, 4, 3, 6, 12, 5, 10, 20, 15, 30, 60, 67, 134, 268, 201, 402, 804, 335, 670, 1340, 1005, 2010, 4020</v>
      </c>
    </row>
    <row r="22" spans="1:10">
      <c r="A22" s="10">
        <v>19</v>
      </c>
      <c r="B22" s="38">
        <v>906</v>
      </c>
      <c r="C22" s="36" t="str">
        <f t="shared" si="1"/>
        <v>151*3*2*1</v>
      </c>
      <c r="F22" s="10">
        <v>19</v>
      </c>
      <c r="G22" s="38">
        <v>567</v>
      </c>
      <c r="H22" s="36" t="str">
        <f t="shared" si="2"/>
        <v>7*3*3*3*3*1</v>
      </c>
      <c r="I22" s="10">
        <f t="shared" si="0"/>
        <v>10</v>
      </c>
      <c r="J22" s="36" t="str">
        <f t="shared" si="3"/>
        <v>1, 3, 9, 27, 81, 7, 21, 63, 189, 567</v>
      </c>
    </row>
    <row r="23" spans="1:10">
      <c r="A23" s="10">
        <v>20</v>
      </c>
      <c r="B23" s="38">
        <v>1188</v>
      </c>
      <c r="C23" s="36" t="str">
        <f t="shared" si="1"/>
        <v>11*3*3*3*2*2*1</v>
      </c>
      <c r="F23" s="10">
        <v>20</v>
      </c>
      <c r="G23" s="38">
        <v>4459</v>
      </c>
      <c r="H23" s="36" t="str">
        <f t="shared" si="2"/>
        <v>13*7*7*7*1</v>
      </c>
      <c r="I23" s="10">
        <f t="shared" si="0"/>
        <v>8</v>
      </c>
      <c r="J23" s="36" t="str">
        <f t="shared" si="3"/>
        <v>1, 7, 49, 343, 13, 91, 637, 4459</v>
      </c>
    </row>
    <row r="24" spans="1:10">
      <c r="A24" s="10">
        <v>21</v>
      </c>
      <c r="B24" s="38">
        <v>2401</v>
      </c>
      <c r="C24" s="36" t="str">
        <f t="shared" si="1"/>
        <v>7*7*7*7*1</v>
      </c>
      <c r="F24" s="10">
        <v>21</v>
      </c>
      <c r="G24" s="38">
        <v>5819</v>
      </c>
      <c r="H24" s="36" t="str">
        <f t="shared" si="2"/>
        <v>23*23*11*1</v>
      </c>
      <c r="I24" s="10">
        <f t="shared" si="0"/>
        <v>6</v>
      </c>
      <c r="J24" s="36" t="str">
        <f t="shared" si="3"/>
        <v>1, 11, 23, 253, 529, 5819</v>
      </c>
    </row>
    <row r="25" spans="1:10">
      <c r="A25" s="10">
        <v>22</v>
      </c>
      <c r="B25" s="38">
        <v>2093</v>
      </c>
      <c r="C25" s="36" t="str">
        <f t="shared" si="1"/>
        <v>23*13*7*1</v>
      </c>
      <c r="F25" s="10">
        <v>22</v>
      </c>
      <c r="G25" s="38">
        <v>6727</v>
      </c>
      <c r="H25" s="36" t="str">
        <f t="shared" si="2"/>
        <v>31*31*7*1</v>
      </c>
      <c r="I25" s="10">
        <f t="shared" si="0"/>
        <v>6</v>
      </c>
      <c r="J25" s="36" t="str">
        <f t="shared" si="3"/>
        <v>1, 7, 31, 217, 961, 6727</v>
      </c>
    </row>
    <row r="26" spans="1:10">
      <c r="A26" s="10">
        <v>23</v>
      </c>
      <c r="B26" s="38">
        <v>2890</v>
      </c>
      <c r="C26" s="36" t="str">
        <f t="shared" si="1"/>
        <v>17*17*5*2*1</v>
      </c>
      <c r="F26" s="10">
        <v>23</v>
      </c>
      <c r="G26" s="38">
        <v>3159</v>
      </c>
      <c r="H26" s="36" t="str">
        <f t="shared" si="2"/>
        <v>13*3*3*3*3*3*1</v>
      </c>
      <c r="I26" s="10">
        <f t="shared" si="0"/>
        <v>12</v>
      </c>
      <c r="J26" s="36" t="str">
        <f t="shared" si="3"/>
        <v>1, 3, 9, 27, 81, 243, 13, 39, 117, 351, 1053, 3159</v>
      </c>
    </row>
    <row r="27" spans="1:10">
      <c r="A27" s="10">
        <v>24</v>
      </c>
      <c r="B27" s="38">
        <v>3249</v>
      </c>
      <c r="C27" s="36" t="str">
        <f t="shared" si="1"/>
        <v>19*19*3*3*1</v>
      </c>
      <c r="F27" s="10">
        <v>24</v>
      </c>
      <c r="G27" s="38">
        <v>5929</v>
      </c>
      <c r="H27" s="36" t="str">
        <f t="shared" si="2"/>
        <v>11*11*7*7*1</v>
      </c>
      <c r="I27" s="10">
        <f t="shared" si="0"/>
        <v>9</v>
      </c>
      <c r="J27" s="36" t="str">
        <f t="shared" si="3"/>
        <v>1, 7, 49, 11, 77, 539, 121, 847, 5929</v>
      </c>
    </row>
    <row r="28" spans="1:10">
      <c r="A28" s="10">
        <v>25</v>
      </c>
      <c r="B28" s="38">
        <v>3703</v>
      </c>
      <c r="C28" s="36" t="str">
        <f t="shared" si="1"/>
        <v>23*23*7*1</v>
      </c>
      <c r="F28" s="10">
        <v>25</v>
      </c>
      <c r="G28" s="38">
        <v>5915</v>
      </c>
      <c r="H28" s="36" t="str">
        <f t="shared" si="2"/>
        <v>13*13*7*5*1</v>
      </c>
      <c r="I28" s="10">
        <f t="shared" si="0"/>
        <v>12</v>
      </c>
      <c r="J28" s="36" t="str">
        <f t="shared" si="3"/>
        <v>1, 5, 7, 35, 13, 65, 91, 455, 169, 845, 1183, 5915</v>
      </c>
    </row>
    <row r="29" spans="1:10">
      <c r="A29" s="10">
        <v>26</v>
      </c>
      <c r="B29" s="38">
        <v>3887</v>
      </c>
      <c r="C29" s="36" t="str">
        <f t="shared" si="1"/>
        <v>23*13*13*1</v>
      </c>
      <c r="F29" s="10">
        <v>26</v>
      </c>
      <c r="G29" s="38">
        <v>6006</v>
      </c>
      <c r="H29" s="36" t="str">
        <f t="shared" si="2"/>
        <v>13*11*7*3*2*1</v>
      </c>
      <c r="I29" s="10">
        <f t="shared" si="0"/>
        <v>32</v>
      </c>
      <c r="J29" s="36" t="str">
        <f t="shared" si="3"/>
        <v>1, 2, 3, 6, 7, 14, 21, 42, 11, 22, 33, 66, 77, 154, 231, 462, 13, 26, 39, 78, 91, 182, 273, 546, 143, 286, 429, 858, 1001, 2002, 3003, 6006</v>
      </c>
    </row>
    <row r="30" spans="1:10">
      <c r="A30" s="10">
        <v>27</v>
      </c>
      <c r="B30" s="38">
        <v>5753</v>
      </c>
      <c r="C30" s="36" t="str">
        <f t="shared" si="1"/>
        <v>523*11*1</v>
      </c>
      <c r="F30" s="10">
        <v>27</v>
      </c>
      <c r="G30" s="38">
        <v>3025</v>
      </c>
      <c r="H30" s="36" t="str">
        <f t="shared" si="2"/>
        <v>11*11*5*5*1</v>
      </c>
      <c r="I30" s="10">
        <f t="shared" si="0"/>
        <v>9</v>
      </c>
      <c r="J30" s="36" t="str">
        <f t="shared" si="3"/>
        <v>1, 5, 25, 11, 55, 275, 121, 605, 3025</v>
      </c>
    </row>
    <row r="31" spans="1:10">
      <c r="A31" s="10">
        <v>28</v>
      </c>
      <c r="B31" s="38">
        <v>5887</v>
      </c>
      <c r="C31" s="36" t="str">
        <f t="shared" si="1"/>
        <v>29*29*7*1</v>
      </c>
      <c r="F31" s="10">
        <v>28</v>
      </c>
      <c r="G31" s="38">
        <v>6591</v>
      </c>
      <c r="H31" s="36" t="str">
        <f t="shared" si="2"/>
        <v>13*13*13*3*1</v>
      </c>
      <c r="I31" s="10">
        <f t="shared" si="0"/>
        <v>8</v>
      </c>
      <c r="J31" s="36" t="str">
        <f t="shared" si="3"/>
        <v>1, 3, 13, 39, 169, 507, 2197, 6591</v>
      </c>
    </row>
    <row r="32" spans="1:10">
      <c r="A32" s="10">
        <v>29</v>
      </c>
      <c r="B32" s="38">
        <v>9410</v>
      </c>
      <c r="C32" s="36" t="str">
        <f t="shared" si="1"/>
        <v>941*5*2*1</v>
      </c>
      <c r="F32" s="10">
        <v>29</v>
      </c>
      <c r="G32" s="38">
        <v>9702</v>
      </c>
      <c r="H32" s="36" t="str">
        <f t="shared" si="2"/>
        <v>11*7*7*3*3*2*1</v>
      </c>
      <c r="I32" s="10">
        <f t="shared" si="0"/>
        <v>36</v>
      </c>
      <c r="J32" s="36" t="str">
        <f t="shared" si="3"/>
        <v>1, 2, 3, 6, 9, 18, 7, 14, 21, 42, 63, 126, 49, 98, 147, 294, 441, 882, 11, 22, 33, 66, 99, 198, 77, 154, 231, 462, 693, 1386, 539, 1078, 1617, 3234, 4851, 9702</v>
      </c>
    </row>
    <row r="33" spans="1:10">
      <c r="A33" s="10">
        <v>30</v>
      </c>
      <c r="B33" s="38">
        <v>12740</v>
      </c>
      <c r="C33" s="36" t="str">
        <f t="shared" si="1"/>
        <v>13*7*7*5*2*2*1</v>
      </c>
      <c r="F33" s="10">
        <v>30</v>
      </c>
      <c r="G33" s="38">
        <v>14161</v>
      </c>
      <c r="H33" s="36" t="str">
        <f t="shared" si="2"/>
        <v>17*17*7*7*1</v>
      </c>
      <c r="I33" s="10">
        <f t="shared" si="0"/>
        <v>9</v>
      </c>
      <c r="J33" s="36" t="str">
        <f t="shared" si="3"/>
        <v>1, 7, 49, 17, 119, 833, 289, 2023, 14161</v>
      </c>
    </row>
    <row r="34" spans="1:10">
      <c r="A34" s="10">
        <v>31</v>
      </c>
      <c r="B34" s="38">
        <v>13690</v>
      </c>
      <c r="C34" s="36" t="str">
        <f t="shared" si="1"/>
        <v>37*37*5*2*1</v>
      </c>
    </row>
    <row r="35" spans="1:10">
      <c r="A35" s="10">
        <v>32</v>
      </c>
      <c r="B35" s="38">
        <v>15700</v>
      </c>
      <c r="C35" s="36" t="str">
        <f t="shared" si="1"/>
        <v>157*5*5*2*2*1</v>
      </c>
    </row>
    <row r="36" spans="1:10">
      <c r="A36" s="10">
        <v>33</v>
      </c>
      <c r="B36" s="38">
        <v>20677</v>
      </c>
      <c r="C36" s="36" t="str">
        <f t="shared" si="1"/>
        <v>31*29*23*1</v>
      </c>
    </row>
    <row r="37" spans="1:10">
      <c r="A37" s="10">
        <v>34</v>
      </c>
      <c r="B37" s="38">
        <v>21901</v>
      </c>
      <c r="C37" s="36" t="str">
        <f t="shared" si="1"/>
        <v>181*11*11*1</v>
      </c>
    </row>
    <row r="38" spans="1:10">
      <c r="A38" s="10">
        <v>35</v>
      </c>
      <c r="B38" s="38">
        <v>47601</v>
      </c>
      <c r="C38" s="36" t="str">
        <f t="shared" si="1"/>
        <v>43*41*3*3*3*1</v>
      </c>
    </row>
    <row r="39" spans="1:10">
      <c r="A39" s="10">
        <v>36</v>
      </c>
      <c r="B39" s="38">
        <v>48763</v>
      </c>
      <c r="C39" s="36" t="str">
        <f t="shared" si="1"/>
        <v>31*13*11*11*1</v>
      </c>
    </row>
    <row r="40" spans="1:10">
      <c r="A40" s="10">
        <v>37</v>
      </c>
      <c r="B40" s="38">
        <v>208537</v>
      </c>
      <c r="C40" s="36" t="str">
        <f t="shared" si="1"/>
        <v>31*31*31*7*1</v>
      </c>
    </row>
    <row r="41" spans="1:10">
      <c r="A41" s="10">
        <v>38</v>
      </c>
      <c r="B41" s="38">
        <v>327701</v>
      </c>
      <c r="C41" s="36" t="str">
        <f t="shared" si="1"/>
        <v>31*31*31*11*1</v>
      </c>
    </row>
    <row r="42" spans="1:10">
      <c r="A42" s="10">
        <v>39</v>
      </c>
      <c r="B42" s="38">
        <v>496947</v>
      </c>
      <c r="C42" s="36" t="str">
        <f t="shared" si="1"/>
        <v>37*37*11*11*3*1</v>
      </c>
    </row>
  </sheetData>
  <mergeCells count="2">
    <mergeCell ref="A2:C2"/>
    <mergeCell ref="F2:J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AR28"/>
  <sheetViews>
    <sheetView workbookViewId="0"/>
  </sheetViews>
  <sheetFormatPr baseColWidth="10" defaultRowHeight="15"/>
  <cols>
    <col min="1" max="1" width="9.83203125" style="10" customWidth="1"/>
    <col min="2" max="2" width="10.5" style="10" customWidth="1"/>
    <col min="3" max="3" width="9.5" style="10" customWidth="1"/>
    <col min="4" max="4" width="10.33203125" style="10" customWidth="1"/>
    <col min="5" max="5" width="9.5" style="10" customWidth="1"/>
    <col min="6" max="6" width="8.33203125" style="10" customWidth="1"/>
    <col min="7" max="7" width="10.83203125" style="10"/>
    <col min="8" max="8" width="10.6640625" style="10" customWidth="1"/>
    <col min="9" max="13" width="10.83203125" style="10"/>
    <col min="14" max="14" width="10" style="10" customWidth="1"/>
    <col min="15" max="15" width="9.5" style="10" customWidth="1"/>
    <col min="16" max="16" width="9.83203125" style="10" customWidth="1"/>
    <col min="17" max="17" width="10.83203125" style="10"/>
    <col min="18" max="18" width="8.1640625" style="10" customWidth="1"/>
    <col min="19" max="19" width="7.1640625" style="10" customWidth="1"/>
    <col min="20" max="21" width="10.83203125" style="10"/>
    <col min="22" max="22" width="9.5" style="10" customWidth="1"/>
    <col min="23" max="24" width="10.83203125" style="10"/>
    <col min="25" max="25" width="8.5" style="10" customWidth="1"/>
    <col min="26" max="26" width="9.1640625" style="10" customWidth="1"/>
    <col min="27" max="27" width="6.1640625" style="10" customWidth="1"/>
    <col min="28" max="29" width="10.83203125" style="10"/>
    <col min="30" max="30" width="8.5" style="10" customWidth="1"/>
    <col min="31" max="31" width="10.83203125" style="10"/>
    <col min="32" max="32" width="8.1640625" style="10" customWidth="1"/>
    <col min="33" max="33" width="8.5" style="10" customWidth="1"/>
    <col min="34" max="34" width="6" style="10" customWidth="1"/>
    <col min="35" max="36" width="10.83203125" style="10"/>
    <col min="37" max="37" width="8.5" style="10" customWidth="1"/>
    <col min="38" max="38" width="9.5" style="10" customWidth="1"/>
    <col min="39" max="40" width="8.5" style="10" customWidth="1"/>
    <col min="41" max="41" width="6.5" style="10" customWidth="1"/>
    <col min="42" max="42" width="15.5" style="10" customWidth="1"/>
    <col min="43" max="43" width="9.6640625" style="10" customWidth="1"/>
    <col min="44" max="44" width="31.83203125" style="10" customWidth="1"/>
    <col min="45" max="16384" width="10.83203125" style="10"/>
  </cols>
  <sheetData>
    <row r="1" spans="1:44" ht="100" customHeight="1"/>
    <row r="2" spans="1:44">
      <c r="A2" s="11" t="s">
        <v>28</v>
      </c>
      <c r="B2" s="11"/>
      <c r="C2" s="11"/>
      <c r="D2" s="11"/>
      <c r="E2" s="11"/>
      <c r="F2" s="11"/>
      <c r="H2" s="11" t="s">
        <v>29</v>
      </c>
      <c r="I2" s="11"/>
      <c r="J2" s="11"/>
      <c r="K2" s="11"/>
      <c r="M2" s="11" t="s">
        <v>30</v>
      </c>
      <c r="N2" s="11"/>
      <c r="O2" s="11"/>
      <c r="P2" s="11"/>
      <c r="Q2" s="11"/>
      <c r="R2" s="11"/>
      <c r="S2" s="11"/>
      <c r="T2" s="30"/>
      <c r="U2" s="11" t="s">
        <v>31</v>
      </c>
      <c r="V2" s="11"/>
      <c r="W2" s="11"/>
      <c r="X2" s="11"/>
      <c r="Y2" s="11"/>
      <c r="Z2" s="11"/>
      <c r="AA2" s="11"/>
      <c r="AC2" s="11" t="s">
        <v>32</v>
      </c>
      <c r="AD2" s="11"/>
      <c r="AE2" s="11"/>
      <c r="AF2" s="11"/>
      <c r="AG2" s="11"/>
      <c r="AH2" s="11"/>
      <c r="AJ2" s="11" t="s">
        <v>32</v>
      </c>
      <c r="AK2" s="11"/>
      <c r="AL2" s="11"/>
      <c r="AM2" s="11"/>
      <c r="AN2" s="11"/>
      <c r="AO2" s="11"/>
    </row>
    <row r="3" spans="1:44" ht="48">
      <c r="A3" s="31" t="s">
        <v>4</v>
      </c>
      <c r="B3" s="31" t="s">
        <v>26</v>
      </c>
      <c r="C3" s="31" t="s">
        <v>33</v>
      </c>
      <c r="D3" s="31" t="s">
        <v>34</v>
      </c>
      <c r="E3" s="31" t="s">
        <v>35</v>
      </c>
      <c r="F3" s="31" t="s">
        <v>36</v>
      </c>
      <c r="H3" s="31" t="s">
        <v>4</v>
      </c>
      <c r="I3" s="31" t="s">
        <v>26</v>
      </c>
      <c r="J3" s="31" t="s">
        <v>33</v>
      </c>
      <c r="K3" s="31" t="s">
        <v>36</v>
      </c>
      <c r="L3" s="87"/>
      <c r="M3" s="31" t="s">
        <v>4</v>
      </c>
      <c r="N3" s="31" t="s">
        <v>26</v>
      </c>
      <c r="O3" s="31" t="s">
        <v>33</v>
      </c>
      <c r="P3" s="31" t="s">
        <v>34</v>
      </c>
      <c r="Q3" s="31" t="s">
        <v>35</v>
      </c>
      <c r="R3" s="31" t="s">
        <v>37</v>
      </c>
      <c r="S3" s="31" t="s">
        <v>36</v>
      </c>
      <c r="T3" s="31"/>
      <c r="U3" s="31" t="s">
        <v>4</v>
      </c>
      <c r="V3" s="31" t="s">
        <v>26</v>
      </c>
      <c r="W3" s="31" t="s">
        <v>33</v>
      </c>
      <c r="X3" s="31" t="s">
        <v>34</v>
      </c>
      <c r="Y3" s="31" t="s">
        <v>35</v>
      </c>
      <c r="Z3" s="31" t="s">
        <v>37</v>
      </c>
      <c r="AA3" s="31" t="s">
        <v>36</v>
      </c>
      <c r="AC3" s="31" t="s">
        <v>4</v>
      </c>
      <c r="AD3" s="31" t="s">
        <v>26</v>
      </c>
      <c r="AE3" s="31" t="s">
        <v>33</v>
      </c>
      <c r="AF3" s="31" t="s">
        <v>34</v>
      </c>
      <c r="AG3" s="31" t="s">
        <v>35</v>
      </c>
      <c r="AH3" s="31" t="s">
        <v>36</v>
      </c>
      <c r="AJ3" s="31" t="s">
        <v>4</v>
      </c>
      <c r="AK3" s="31" t="s">
        <v>26</v>
      </c>
      <c r="AL3" s="31" t="s">
        <v>33</v>
      </c>
      <c r="AM3" s="31" t="s">
        <v>34</v>
      </c>
      <c r="AN3" s="31" t="s">
        <v>35</v>
      </c>
      <c r="AO3" s="31" t="s">
        <v>36</v>
      </c>
      <c r="AP3" s="31" t="s">
        <v>38</v>
      </c>
      <c r="AQ3" s="31" t="s">
        <v>39</v>
      </c>
      <c r="AR3" s="31" t="s">
        <v>40</v>
      </c>
    </row>
    <row r="4" spans="1:44">
      <c r="A4" s="10">
        <v>1</v>
      </c>
      <c r="B4" s="10">
        <v>15</v>
      </c>
      <c r="C4" s="10">
        <v>30</v>
      </c>
      <c r="F4" s="10">
        <f>GCD(GCD(GCD(B4,C4),D4),E4)</f>
        <v>15</v>
      </c>
      <c r="H4" s="10">
        <v>1</v>
      </c>
      <c r="I4" s="15">
        <v>137</v>
      </c>
      <c r="J4" s="15">
        <v>2603</v>
      </c>
      <c r="K4" s="15">
        <f>GCD(I4,J4)</f>
        <v>137</v>
      </c>
      <c r="L4" s="36"/>
      <c r="M4" s="10">
        <v>1</v>
      </c>
      <c r="N4" s="15">
        <v>2168</v>
      </c>
      <c r="O4" s="15">
        <v>7336</v>
      </c>
      <c r="P4" s="15">
        <v>9184</v>
      </c>
      <c r="Q4" s="15"/>
      <c r="R4" s="15"/>
      <c r="S4" s="15">
        <f t="shared" ref="S4:S20" si="0">GCD(GCD(GCD(GCD(N4,O4),P4),Q4),R4)</f>
        <v>8</v>
      </c>
      <c r="T4" s="36"/>
      <c r="U4" s="10">
        <v>1</v>
      </c>
      <c r="V4" s="15">
        <v>20</v>
      </c>
      <c r="W4" s="15">
        <v>80</v>
      </c>
      <c r="X4" s="15"/>
      <c r="Y4" s="15"/>
      <c r="Z4" s="15"/>
      <c r="AA4" s="15">
        <f t="shared" ref="AA4:AA28" si="1">GCD(GCD(GCD(GCD(V4,W4),X4),Y4),Z4)</f>
        <v>20</v>
      </c>
      <c r="AC4" s="36" t="s">
        <v>41</v>
      </c>
      <c r="AD4" s="38">
        <v>540</v>
      </c>
      <c r="AE4" s="38">
        <v>1050</v>
      </c>
      <c r="AF4" s="38"/>
      <c r="AH4" s="10">
        <f>GCD(GCD(GCD(GCD(AD4,AE4),AF4),AG4))</f>
        <v>30</v>
      </c>
      <c r="AJ4" s="10">
        <v>1</v>
      </c>
      <c r="AK4" s="38">
        <v>18</v>
      </c>
      <c r="AL4" s="38">
        <v>72</v>
      </c>
      <c r="AM4" s="38"/>
      <c r="AN4" s="38"/>
      <c r="AO4" s="38">
        <f>GCD(GCD(GCD(GCD(AK4,AL4),AM4),AN4))</f>
        <v>18</v>
      </c>
      <c r="AP4" s="36" t="str">
        <f>factores(AO4)</f>
        <v>3*3*2*1</v>
      </c>
      <c r="AQ4" s="10">
        <f>Combinac(AO4)</f>
        <v>6</v>
      </c>
      <c r="AR4" s="36" t="str">
        <f>TotalComb(AO4)</f>
        <v>1, 2, 3, 6, 9, 18</v>
      </c>
    </row>
    <row r="5" spans="1:44">
      <c r="A5" s="10">
        <v>2</v>
      </c>
      <c r="B5" s="10">
        <v>8</v>
      </c>
      <c r="C5" s="10">
        <v>12</v>
      </c>
      <c r="F5" s="10">
        <f t="shared" ref="F5:F21" si="2">GCD(GCD(GCD(B5,C5),D5),E5)</f>
        <v>4</v>
      </c>
      <c r="H5" s="10">
        <v>2</v>
      </c>
      <c r="I5" s="15">
        <v>1189</v>
      </c>
      <c r="J5" s="15">
        <v>123656</v>
      </c>
      <c r="K5" s="15">
        <f t="shared" ref="K5:K23" si="3">GCD(I5,J5)</f>
        <v>1189</v>
      </c>
      <c r="L5" s="36"/>
      <c r="M5" s="10">
        <v>2</v>
      </c>
      <c r="N5" s="15">
        <v>425</v>
      </c>
      <c r="O5" s="15">
        <v>800</v>
      </c>
      <c r="P5" s="15">
        <v>950</v>
      </c>
      <c r="Q5" s="15"/>
      <c r="R5" s="15"/>
      <c r="S5" s="15">
        <f t="shared" si="0"/>
        <v>25</v>
      </c>
      <c r="T5" s="36"/>
      <c r="U5" s="10">
        <v>2</v>
      </c>
      <c r="V5" s="15">
        <v>144</v>
      </c>
      <c r="W5" s="15">
        <v>520</v>
      </c>
      <c r="X5" s="15"/>
      <c r="Y5" s="15"/>
      <c r="Z5" s="15"/>
      <c r="AA5" s="15">
        <f t="shared" si="1"/>
        <v>8</v>
      </c>
      <c r="AC5" s="36" t="s">
        <v>42</v>
      </c>
      <c r="AD5" s="38">
        <v>910</v>
      </c>
      <c r="AE5" s="38">
        <v>490</v>
      </c>
      <c r="AF5" s="38">
        <v>560</v>
      </c>
      <c r="AH5" s="10">
        <f t="shared" ref="AH5:AH19" si="4">GCD(GCD(GCD(GCD(AD5,AE5),AF5),AG5))</f>
        <v>70</v>
      </c>
      <c r="AJ5" s="10">
        <v>2</v>
      </c>
      <c r="AK5" s="38">
        <v>40</v>
      </c>
      <c r="AL5" s="38">
        <v>200</v>
      </c>
      <c r="AM5" s="38"/>
      <c r="AN5" s="38"/>
      <c r="AO5" s="38">
        <f t="shared" ref="AO5:AO17" si="5">GCD(GCD(GCD(GCD(AK5,AL5),AM5),AN5))</f>
        <v>40</v>
      </c>
      <c r="AP5" s="36" t="str">
        <f t="shared" ref="AP5:AP17" si="6">factores(AO5)</f>
        <v>5*2*2*2*1</v>
      </c>
      <c r="AQ5" s="10">
        <f t="shared" ref="AQ5:AQ17" si="7">Combinac(AO5)</f>
        <v>8</v>
      </c>
      <c r="AR5" s="36" t="str">
        <f t="shared" ref="AR5:AR17" si="8">TotalComb(AO5)</f>
        <v>1, 2, 4, 8, 5, 10, 20, 40</v>
      </c>
    </row>
    <row r="6" spans="1:44">
      <c r="A6" s="10">
        <v>3</v>
      </c>
      <c r="B6" s="10">
        <v>9</v>
      </c>
      <c r="C6" s="10">
        <v>18</v>
      </c>
      <c r="F6" s="10">
        <f t="shared" si="2"/>
        <v>9</v>
      </c>
      <c r="H6" s="10">
        <v>3</v>
      </c>
      <c r="I6" s="15">
        <v>144</v>
      </c>
      <c r="J6" s="15">
        <v>520</v>
      </c>
      <c r="K6" s="15">
        <f t="shared" si="3"/>
        <v>8</v>
      </c>
      <c r="L6" s="36"/>
      <c r="M6" s="10">
        <v>3</v>
      </c>
      <c r="N6" s="15">
        <v>1560</v>
      </c>
      <c r="O6" s="15">
        <v>2400</v>
      </c>
      <c r="P6" s="15">
        <v>5400</v>
      </c>
      <c r="Q6" s="15"/>
      <c r="R6" s="15"/>
      <c r="S6" s="15">
        <f t="shared" si="0"/>
        <v>120</v>
      </c>
      <c r="T6" s="36"/>
      <c r="U6" s="10">
        <v>3</v>
      </c>
      <c r="V6" s="15">
        <v>345</v>
      </c>
      <c r="W6" s="15">
        <v>850</v>
      </c>
      <c r="X6" s="15"/>
      <c r="Y6" s="15"/>
      <c r="Z6" s="15"/>
      <c r="AA6" s="15">
        <f t="shared" si="1"/>
        <v>5</v>
      </c>
      <c r="AC6" s="36" t="s">
        <v>43</v>
      </c>
      <c r="AD6" s="38">
        <v>690</v>
      </c>
      <c r="AE6" s="38">
        <v>5290</v>
      </c>
      <c r="AF6" s="38">
        <v>920</v>
      </c>
      <c r="AH6" s="10">
        <f t="shared" si="4"/>
        <v>230</v>
      </c>
      <c r="AJ6" s="10">
        <v>3</v>
      </c>
      <c r="AK6" s="38">
        <v>48</v>
      </c>
      <c r="AL6" s="38">
        <v>72</v>
      </c>
      <c r="AM6" s="38"/>
      <c r="AN6" s="38"/>
      <c r="AO6" s="38">
        <f t="shared" si="5"/>
        <v>24</v>
      </c>
      <c r="AP6" s="36" t="str">
        <f t="shared" si="6"/>
        <v>3*2*2*2*1</v>
      </c>
      <c r="AQ6" s="10">
        <f t="shared" si="7"/>
        <v>8</v>
      </c>
      <c r="AR6" s="36" t="str">
        <f t="shared" si="8"/>
        <v>1, 2, 4, 8, 3, 6, 12, 24</v>
      </c>
    </row>
    <row r="7" spans="1:44">
      <c r="A7" s="10">
        <v>4</v>
      </c>
      <c r="B7" s="10">
        <v>20</v>
      </c>
      <c r="C7" s="10">
        <v>16</v>
      </c>
      <c r="F7" s="10">
        <f t="shared" si="2"/>
        <v>4</v>
      </c>
      <c r="H7" s="10">
        <v>4</v>
      </c>
      <c r="I7" s="15">
        <v>51</v>
      </c>
      <c r="J7" s="15">
        <v>187</v>
      </c>
      <c r="K7" s="15">
        <f t="shared" si="3"/>
        <v>17</v>
      </c>
      <c r="L7" s="36"/>
      <c r="M7" s="10">
        <v>4</v>
      </c>
      <c r="N7" s="15">
        <v>78</v>
      </c>
      <c r="O7" s="15">
        <v>130</v>
      </c>
      <c r="P7" s="15">
        <v>143</v>
      </c>
      <c r="Q7" s="15"/>
      <c r="R7" s="15"/>
      <c r="S7" s="15">
        <f t="shared" si="0"/>
        <v>13</v>
      </c>
      <c r="T7" s="36"/>
      <c r="U7" s="10">
        <v>4</v>
      </c>
      <c r="V7" s="15">
        <v>19578</v>
      </c>
      <c r="W7" s="15">
        <v>47190</v>
      </c>
      <c r="X7" s="15"/>
      <c r="Y7" s="15"/>
      <c r="Z7" s="15"/>
      <c r="AA7" s="15">
        <f t="shared" si="1"/>
        <v>78</v>
      </c>
      <c r="AC7" s="36">
        <v>2</v>
      </c>
      <c r="AD7" s="38">
        <v>20</v>
      </c>
      <c r="AE7" s="38">
        <v>24</v>
      </c>
      <c r="AF7" s="38">
        <v>30</v>
      </c>
      <c r="AH7" s="10">
        <f t="shared" si="4"/>
        <v>2</v>
      </c>
      <c r="AJ7" s="10">
        <v>4</v>
      </c>
      <c r="AK7" s="38">
        <v>60</v>
      </c>
      <c r="AL7" s="38">
        <v>210</v>
      </c>
      <c r="AM7" s="38"/>
      <c r="AN7" s="38"/>
      <c r="AO7" s="38">
        <f t="shared" si="5"/>
        <v>30</v>
      </c>
      <c r="AP7" s="36" t="str">
        <f t="shared" si="6"/>
        <v>5*3*2*1</v>
      </c>
      <c r="AQ7" s="10">
        <f t="shared" si="7"/>
        <v>8</v>
      </c>
      <c r="AR7" s="36" t="str">
        <f t="shared" si="8"/>
        <v>1, 2, 3, 6, 5, 10, 15, 30</v>
      </c>
    </row>
    <row r="8" spans="1:44">
      <c r="A8" s="10">
        <v>5</v>
      </c>
      <c r="B8" s="10">
        <v>18</v>
      </c>
      <c r="C8" s="10">
        <v>24</v>
      </c>
      <c r="F8" s="10">
        <f t="shared" si="2"/>
        <v>6</v>
      </c>
      <c r="H8" s="10">
        <v>5</v>
      </c>
      <c r="I8" s="15">
        <v>76</v>
      </c>
      <c r="J8" s="15">
        <v>1710</v>
      </c>
      <c r="K8" s="15">
        <f t="shared" si="3"/>
        <v>38</v>
      </c>
      <c r="L8" s="36"/>
      <c r="M8" s="10">
        <v>5</v>
      </c>
      <c r="N8" s="15">
        <v>153</v>
      </c>
      <c r="O8" s="15">
        <v>357</v>
      </c>
      <c r="P8" s="15">
        <v>187</v>
      </c>
      <c r="Q8" s="15"/>
      <c r="R8" s="15"/>
      <c r="S8" s="15">
        <f t="shared" si="0"/>
        <v>17</v>
      </c>
      <c r="T8" s="36"/>
      <c r="U8" s="10">
        <v>5</v>
      </c>
      <c r="V8" s="15">
        <v>33</v>
      </c>
      <c r="W8" s="15">
        <v>77</v>
      </c>
      <c r="X8" s="15">
        <v>121</v>
      </c>
      <c r="Y8" s="15"/>
      <c r="Z8" s="15"/>
      <c r="AA8" s="15">
        <f t="shared" si="1"/>
        <v>11</v>
      </c>
      <c r="AC8" s="36">
        <v>3</v>
      </c>
      <c r="AD8" s="38">
        <v>60</v>
      </c>
      <c r="AE8" s="38">
        <v>80</v>
      </c>
      <c r="AF8" s="38">
        <v>100</v>
      </c>
      <c r="AH8" s="10">
        <f t="shared" si="4"/>
        <v>20</v>
      </c>
      <c r="AJ8" s="10">
        <v>5</v>
      </c>
      <c r="AK8" s="38">
        <v>90</v>
      </c>
      <c r="AL8" s="38">
        <v>225</v>
      </c>
      <c r="AM8" s="38"/>
      <c r="AN8" s="38"/>
      <c r="AO8" s="38">
        <f t="shared" si="5"/>
        <v>45</v>
      </c>
      <c r="AP8" s="36" t="str">
        <f t="shared" si="6"/>
        <v>5*3*3*1</v>
      </c>
      <c r="AQ8" s="10">
        <f t="shared" si="7"/>
        <v>6</v>
      </c>
      <c r="AR8" s="36" t="str">
        <f t="shared" si="8"/>
        <v>1, 3, 9, 5, 15, 45</v>
      </c>
    </row>
    <row r="9" spans="1:44">
      <c r="A9" s="10">
        <v>6</v>
      </c>
      <c r="B9" s="10">
        <v>21</v>
      </c>
      <c r="C9" s="10">
        <v>28</v>
      </c>
      <c r="F9" s="10">
        <f t="shared" si="2"/>
        <v>7</v>
      </c>
      <c r="H9" s="10">
        <v>6</v>
      </c>
      <c r="I9" s="15">
        <v>93</v>
      </c>
      <c r="J9" s="15">
        <v>2387</v>
      </c>
      <c r="K9" s="15">
        <f t="shared" si="3"/>
        <v>31</v>
      </c>
      <c r="L9" s="36"/>
      <c r="M9" s="10">
        <v>6</v>
      </c>
      <c r="N9" s="15">
        <v>236</v>
      </c>
      <c r="O9" s="15">
        <v>590</v>
      </c>
      <c r="P9" s="15">
        <v>1239</v>
      </c>
      <c r="Q9" s="15"/>
      <c r="R9" s="15"/>
      <c r="S9" s="15">
        <f t="shared" si="0"/>
        <v>59</v>
      </c>
      <c r="T9" s="36"/>
      <c r="U9" s="10">
        <v>6</v>
      </c>
      <c r="V9" s="15">
        <v>425</v>
      </c>
      <c r="W9" s="15">
        <v>800</v>
      </c>
      <c r="X9" s="15">
        <v>950</v>
      </c>
      <c r="Y9" s="15"/>
      <c r="Z9" s="15"/>
      <c r="AA9" s="15">
        <f t="shared" si="1"/>
        <v>25</v>
      </c>
      <c r="AC9" s="36">
        <v>4</v>
      </c>
      <c r="AD9" s="38">
        <v>38</v>
      </c>
      <c r="AE9" s="38">
        <v>46</v>
      </c>
      <c r="AF9" s="38">
        <v>57</v>
      </c>
      <c r="AG9" s="38">
        <v>66</v>
      </c>
      <c r="AH9" s="10">
        <f t="shared" si="4"/>
        <v>1</v>
      </c>
      <c r="AJ9" s="10">
        <v>6</v>
      </c>
      <c r="AK9" s="38">
        <v>147</v>
      </c>
      <c r="AL9" s="38">
        <v>245</v>
      </c>
      <c r="AM9" s="38"/>
      <c r="AN9" s="38"/>
      <c r="AO9" s="38">
        <f t="shared" si="5"/>
        <v>49</v>
      </c>
      <c r="AP9" s="36" t="str">
        <f t="shared" si="6"/>
        <v>7*7*1</v>
      </c>
      <c r="AQ9" s="10">
        <f t="shared" si="7"/>
        <v>3</v>
      </c>
      <c r="AR9" s="36" t="str">
        <f t="shared" si="8"/>
        <v>1, 7, 49</v>
      </c>
    </row>
    <row r="10" spans="1:44">
      <c r="A10" s="10">
        <v>7</v>
      </c>
      <c r="B10" s="10">
        <v>24</v>
      </c>
      <c r="C10" s="10">
        <v>32</v>
      </c>
      <c r="F10" s="10">
        <f t="shared" si="2"/>
        <v>8</v>
      </c>
      <c r="H10" s="10">
        <v>7</v>
      </c>
      <c r="I10" s="15">
        <v>111</v>
      </c>
      <c r="J10" s="15">
        <v>518</v>
      </c>
      <c r="K10" s="15">
        <f t="shared" si="3"/>
        <v>37</v>
      </c>
      <c r="L10" s="36"/>
      <c r="M10" s="10">
        <v>7</v>
      </c>
      <c r="N10" s="15">
        <v>465</v>
      </c>
      <c r="O10" s="15">
        <v>651</v>
      </c>
      <c r="P10" s="15">
        <v>682</v>
      </c>
      <c r="Q10" s="15"/>
      <c r="R10" s="15"/>
      <c r="S10" s="15">
        <f t="shared" si="0"/>
        <v>31</v>
      </c>
      <c r="T10" s="36"/>
      <c r="U10" s="10">
        <v>7</v>
      </c>
      <c r="V10" s="15">
        <v>2168</v>
      </c>
      <c r="W10" s="15">
        <v>7336</v>
      </c>
      <c r="X10" s="15">
        <v>9184</v>
      </c>
      <c r="Y10" s="15"/>
      <c r="Z10" s="15"/>
      <c r="AA10" s="15">
        <f t="shared" si="1"/>
        <v>8</v>
      </c>
      <c r="AC10" s="36">
        <v>5</v>
      </c>
      <c r="AD10" s="38">
        <v>80</v>
      </c>
      <c r="AE10" s="38">
        <v>75</v>
      </c>
      <c r="AF10" s="38">
        <v>60</v>
      </c>
      <c r="AH10" s="10">
        <f t="shared" si="4"/>
        <v>5</v>
      </c>
      <c r="AJ10" s="10">
        <v>7</v>
      </c>
      <c r="AK10" s="38">
        <v>320</v>
      </c>
      <c r="AL10" s="38">
        <v>800</v>
      </c>
      <c r="AM10" s="38"/>
      <c r="AN10" s="38"/>
      <c r="AO10" s="38">
        <f t="shared" si="5"/>
        <v>160</v>
      </c>
      <c r="AP10" s="36" t="str">
        <f t="shared" si="6"/>
        <v>5*2*2*2*2*2*1</v>
      </c>
      <c r="AQ10" s="10">
        <f t="shared" si="7"/>
        <v>12</v>
      </c>
      <c r="AR10" s="36" t="str">
        <f t="shared" si="8"/>
        <v>1, 2, 4, 8, 16, 32, 5, 10, 20, 40, 80, 160</v>
      </c>
    </row>
    <row r="11" spans="1:44">
      <c r="A11" s="10">
        <v>8</v>
      </c>
      <c r="B11" s="10">
        <v>3</v>
      </c>
      <c r="C11" s="10">
        <v>6</v>
      </c>
      <c r="D11" s="10">
        <v>9</v>
      </c>
      <c r="F11" s="10">
        <f t="shared" si="2"/>
        <v>3</v>
      </c>
      <c r="H11" s="10">
        <v>8</v>
      </c>
      <c r="I11" s="15">
        <v>212</v>
      </c>
      <c r="J11" s="15">
        <v>1431</v>
      </c>
      <c r="K11" s="15">
        <f t="shared" si="3"/>
        <v>53</v>
      </c>
      <c r="L11" s="36"/>
      <c r="M11" s="10">
        <v>8</v>
      </c>
      <c r="N11" s="15">
        <v>136</v>
      </c>
      <c r="O11" s="15">
        <v>204</v>
      </c>
      <c r="P11" s="15">
        <v>221</v>
      </c>
      <c r="Q11" s="15">
        <v>272</v>
      </c>
      <c r="R11" s="15"/>
      <c r="S11" s="15">
        <f t="shared" si="0"/>
        <v>17</v>
      </c>
      <c r="T11" s="36"/>
      <c r="U11" s="10">
        <v>8</v>
      </c>
      <c r="V11" s="15">
        <v>54</v>
      </c>
      <c r="W11" s="15">
        <v>76</v>
      </c>
      <c r="X11" s="15">
        <v>114</v>
      </c>
      <c r="Y11" s="15">
        <v>234</v>
      </c>
      <c r="Z11" s="15"/>
      <c r="AA11" s="15">
        <f t="shared" si="1"/>
        <v>2</v>
      </c>
      <c r="AC11" s="36">
        <v>6</v>
      </c>
      <c r="AD11" s="38">
        <v>36</v>
      </c>
      <c r="AE11" s="38">
        <v>48</v>
      </c>
      <c r="AF11" s="38"/>
      <c r="AH11" s="10">
        <f t="shared" si="4"/>
        <v>12</v>
      </c>
      <c r="AJ11" s="10">
        <v>8</v>
      </c>
      <c r="AK11" s="38">
        <v>315</v>
      </c>
      <c r="AL11" s="38">
        <v>525</v>
      </c>
      <c r="AM11" s="38"/>
      <c r="AN11" s="38"/>
      <c r="AO11" s="38">
        <f t="shared" si="5"/>
        <v>105</v>
      </c>
      <c r="AP11" s="36" t="str">
        <f t="shared" si="6"/>
        <v>7*5*3*1</v>
      </c>
      <c r="AQ11" s="10">
        <f t="shared" si="7"/>
        <v>8</v>
      </c>
      <c r="AR11" s="36" t="str">
        <f t="shared" si="8"/>
        <v>1, 3, 5, 15, 7, 21, 35, 105</v>
      </c>
    </row>
    <row r="12" spans="1:44">
      <c r="A12" s="10">
        <v>9</v>
      </c>
      <c r="B12" s="10">
        <v>7</v>
      </c>
      <c r="C12" s="10">
        <v>14</v>
      </c>
      <c r="D12" s="10">
        <v>21</v>
      </c>
      <c r="F12" s="10">
        <f t="shared" si="2"/>
        <v>7</v>
      </c>
      <c r="H12" s="10">
        <v>9</v>
      </c>
      <c r="I12" s="15">
        <v>948</v>
      </c>
      <c r="J12" s="15">
        <v>1975</v>
      </c>
      <c r="K12" s="15">
        <f t="shared" si="3"/>
        <v>79</v>
      </c>
      <c r="L12" s="36"/>
      <c r="M12" s="10">
        <v>9</v>
      </c>
      <c r="N12" s="15">
        <v>168</v>
      </c>
      <c r="O12" s="15">
        <v>252</v>
      </c>
      <c r="P12" s="15">
        <v>280</v>
      </c>
      <c r="Q12" s="15">
        <v>917</v>
      </c>
      <c r="R12" s="15"/>
      <c r="S12" s="15">
        <f t="shared" si="0"/>
        <v>7</v>
      </c>
      <c r="T12" s="36"/>
      <c r="U12" s="10">
        <v>9</v>
      </c>
      <c r="V12" s="15">
        <v>320</v>
      </c>
      <c r="W12" s="15">
        <v>450</v>
      </c>
      <c r="X12" s="15">
        <v>560</v>
      </c>
      <c r="Y12" s="15">
        <v>600</v>
      </c>
      <c r="Z12" s="15"/>
      <c r="AA12" s="15">
        <f t="shared" si="1"/>
        <v>10</v>
      </c>
      <c r="AC12" s="36">
        <v>7</v>
      </c>
      <c r="AD12" s="38">
        <v>140</v>
      </c>
      <c r="AE12" s="38">
        <v>560</v>
      </c>
      <c r="AF12" s="38">
        <v>800</v>
      </c>
      <c r="AH12" s="10">
        <f t="shared" si="4"/>
        <v>20</v>
      </c>
      <c r="AJ12" s="10">
        <v>9</v>
      </c>
      <c r="AK12" s="38">
        <v>450</v>
      </c>
      <c r="AL12" s="38">
        <v>1500</v>
      </c>
      <c r="AM12" s="38"/>
      <c r="AN12" s="38"/>
      <c r="AO12" s="38">
        <f t="shared" si="5"/>
        <v>150</v>
      </c>
      <c r="AP12" s="36" t="str">
        <f t="shared" si="6"/>
        <v>5*5*3*2*1</v>
      </c>
      <c r="AQ12" s="10">
        <f t="shared" si="7"/>
        <v>12</v>
      </c>
      <c r="AR12" s="36" t="str">
        <f t="shared" si="8"/>
        <v>1, 2, 3, 6, 5, 10, 15, 30, 25, 50, 75, 150</v>
      </c>
    </row>
    <row r="13" spans="1:44">
      <c r="A13" s="10">
        <v>10</v>
      </c>
      <c r="B13" s="10">
        <v>18</v>
      </c>
      <c r="C13" s="10">
        <v>27</v>
      </c>
      <c r="D13" s="10">
        <v>36</v>
      </c>
      <c r="F13" s="10">
        <f t="shared" si="2"/>
        <v>9</v>
      </c>
      <c r="H13" s="10">
        <v>10</v>
      </c>
      <c r="I13" s="15">
        <v>1164</v>
      </c>
      <c r="J13" s="15">
        <v>3686</v>
      </c>
      <c r="K13" s="15">
        <f t="shared" si="3"/>
        <v>194</v>
      </c>
      <c r="L13" s="36"/>
      <c r="M13" s="10">
        <v>10</v>
      </c>
      <c r="N13" s="15">
        <v>770</v>
      </c>
      <c r="O13" s="15">
        <v>990</v>
      </c>
      <c r="P13" s="15">
        <v>1265</v>
      </c>
      <c r="Q13" s="15">
        <v>3388</v>
      </c>
      <c r="R13" s="15"/>
      <c r="S13" s="15">
        <f t="shared" si="0"/>
        <v>11</v>
      </c>
      <c r="T13" s="36"/>
      <c r="U13" s="10">
        <v>10</v>
      </c>
      <c r="V13" s="15">
        <v>858</v>
      </c>
      <c r="W13" s="15">
        <v>2288</v>
      </c>
      <c r="X13" s="15">
        <v>3575</v>
      </c>
      <c r="Y13" s="15"/>
      <c r="Z13" s="15"/>
      <c r="AA13" s="15">
        <f t="shared" si="1"/>
        <v>143</v>
      </c>
      <c r="AC13" s="36">
        <v>8</v>
      </c>
      <c r="AD13" s="38">
        <v>1600</v>
      </c>
      <c r="AE13" s="38">
        <v>2000</v>
      </c>
      <c r="AF13" s="38">
        <v>3392</v>
      </c>
      <c r="AH13" s="10">
        <f t="shared" si="4"/>
        <v>16</v>
      </c>
      <c r="AJ13" s="10">
        <v>10</v>
      </c>
      <c r="AK13" s="38">
        <v>56</v>
      </c>
      <c r="AL13" s="38">
        <v>84</v>
      </c>
      <c r="AM13" s="38">
        <v>140</v>
      </c>
      <c r="AN13" s="38"/>
      <c r="AO13" s="38">
        <f t="shared" si="5"/>
        <v>28</v>
      </c>
      <c r="AP13" s="36" t="str">
        <f t="shared" si="6"/>
        <v>7*2*2*1</v>
      </c>
      <c r="AQ13" s="10">
        <f t="shared" si="7"/>
        <v>6</v>
      </c>
      <c r="AR13" s="36" t="str">
        <f t="shared" si="8"/>
        <v>1, 2, 4, 7, 14, 28</v>
      </c>
    </row>
    <row r="14" spans="1:44">
      <c r="A14" s="10">
        <v>11</v>
      </c>
      <c r="B14" s="10">
        <v>24</v>
      </c>
      <c r="C14" s="10">
        <v>36</v>
      </c>
      <c r="D14" s="10">
        <v>72</v>
      </c>
      <c r="F14" s="10">
        <f t="shared" si="2"/>
        <v>12</v>
      </c>
      <c r="H14" s="10">
        <v>11</v>
      </c>
      <c r="I14" s="15">
        <v>303</v>
      </c>
      <c r="J14" s="15">
        <v>1313</v>
      </c>
      <c r="K14" s="15">
        <f t="shared" si="3"/>
        <v>101</v>
      </c>
      <c r="L14" s="36"/>
      <c r="M14" s="10">
        <v>11</v>
      </c>
      <c r="N14" s="15">
        <v>1240</v>
      </c>
      <c r="O14" s="15">
        <v>1736</v>
      </c>
      <c r="P14" s="15">
        <v>2852</v>
      </c>
      <c r="Q14" s="15">
        <v>3131</v>
      </c>
      <c r="R14" s="15"/>
      <c r="S14" s="15">
        <f t="shared" si="0"/>
        <v>31</v>
      </c>
      <c r="T14" s="36"/>
      <c r="U14" s="10">
        <v>11</v>
      </c>
      <c r="V14" s="15">
        <v>464</v>
      </c>
      <c r="W14" s="15">
        <v>812</v>
      </c>
      <c r="X14" s="15">
        <v>870</v>
      </c>
      <c r="Y14" s="15"/>
      <c r="Z14" s="15"/>
      <c r="AA14" s="15">
        <f t="shared" si="1"/>
        <v>58</v>
      </c>
      <c r="AC14" s="36">
        <v>9</v>
      </c>
      <c r="AD14" s="38">
        <v>4500</v>
      </c>
      <c r="AE14" s="38">
        <v>5240</v>
      </c>
      <c r="AF14" s="38">
        <v>6500</v>
      </c>
      <c r="AH14" s="10">
        <f t="shared" si="4"/>
        <v>20</v>
      </c>
      <c r="AJ14" s="10">
        <v>11</v>
      </c>
      <c r="AK14" s="38">
        <v>120</v>
      </c>
      <c r="AL14" s="38">
        <v>300</v>
      </c>
      <c r="AM14" s="38">
        <v>360</v>
      </c>
      <c r="AN14" s="38"/>
      <c r="AO14" s="38">
        <f t="shared" si="5"/>
        <v>60</v>
      </c>
      <c r="AP14" s="36" t="str">
        <f t="shared" si="6"/>
        <v>5*3*2*2*1</v>
      </c>
      <c r="AQ14" s="10">
        <f t="shared" si="7"/>
        <v>12</v>
      </c>
      <c r="AR14" s="36" t="str">
        <f t="shared" si="8"/>
        <v>1, 2, 4, 3, 6, 12, 5, 10, 20, 15, 30, 60</v>
      </c>
    </row>
    <row r="15" spans="1:44">
      <c r="A15" s="10">
        <v>12</v>
      </c>
      <c r="B15" s="10">
        <v>30</v>
      </c>
      <c r="C15" s="10">
        <v>42</v>
      </c>
      <c r="D15" s="10">
        <v>54</v>
      </c>
      <c r="F15" s="10">
        <f t="shared" si="2"/>
        <v>6</v>
      </c>
      <c r="H15" s="10">
        <v>12</v>
      </c>
      <c r="I15" s="15">
        <v>19578</v>
      </c>
      <c r="J15" s="15">
        <v>47190</v>
      </c>
      <c r="K15" s="15">
        <f t="shared" si="3"/>
        <v>78</v>
      </c>
      <c r="L15" s="36"/>
      <c r="M15" s="10">
        <v>12</v>
      </c>
      <c r="N15" s="15">
        <v>31740</v>
      </c>
      <c r="O15" s="15">
        <v>47610</v>
      </c>
      <c r="P15" s="15">
        <v>95220</v>
      </c>
      <c r="Q15" s="15">
        <v>126960</v>
      </c>
      <c r="R15" s="15"/>
      <c r="S15" s="15">
        <f t="shared" si="0"/>
        <v>15870</v>
      </c>
      <c r="T15" s="36"/>
      <c r="U15" s="10">
        <v>12</v>
      </c>
      <c r="V15" s="15">
        <v>98</v>
      </c>
      <c r="W15" s="15">
        <v>294</v>
      </c>
      <c r="X15" s="15">
        <v>392</v>
      </c>
      <c r="Y15" s="15">
        <v>1176</v>
      </c>
      <c r="Z15" s="15"/>
      <c r="AA15" s="15">
        <f t="shared" si="1"/>
        <v>98</v>
      </c>
      <c r="AC15" s="36">
        <v>10</v>
      </c>
      <c r="AD15" s="38">
        <v>161</v>
      </c>
      <c r="AE15" s="38">
        <v>253</v>
      </c>
      <c r="AF15" s="38">
        <v>207</v>
      </c>
      <c r="AH15" s="10">
        <f t="shared" si="4"/>
        <v>23</v>
      </c>
      <c r="AJ15" s="10">
        <v>12</v>
      </c>
      <c r="AK15" s="38">
        <v>204</v>
      </c>
      <c r="AL15" s="38">
        <v>510</v>
      </c>
      <c r="AM15" s="38">
        <v>459</v>
      </c>
      <c r="AN15" s="38"/>
      <c r="AO15" s="38">
        <f t="shared" si="5"/>
        <v>51</v>
      </c>
      <c r="AP15" s="36" t="str">
        <f t="shared" si="6"/>
        <v>17*3*1</v>
      </c>
      <c r="AQ15" s="10">
        <f t="shared" si="7"/>
        <v>4</v>
      </c>
      <c r="AR15" s="36" t="str">
        <f t="shared" si="8"/>
        <v>1, 3, 17, 51</v>
      </c>
    </row>
    <row r="16" spans="1:44">
      <c r="A16" s="10">
        <v>13</v>
      </c>
      <c r="B16" s="10">
        <v>16</v>
      </c>
      <c r="C16" s="10">
        <v>24</v>
      </c>
      <c r="D16" s="10">
        <v>40</v>
      </c>
      <c r="F16" s="10">
        <f t="shared" si="2"/>
        <v>8</v>
      </c>
      <c r="H16" s="10">
        <v>13</v>
      </c>
      <c r="I16" s="15">
        <v>19367</v>
      </c>
      <c r="J16" s="15">
        <v>33277</v>
      </c>
      <c r="K16" s="15">
        <f t="shared" si="3"/>
        <v>107</v>
      </c>
      <c r="M16" s="10">
        <v>13</v>
      </c>
      <c r="N16" s="15">
        <v>45150</v>
      </c>
      <c r="O16" s="15">
        <v>51600</v>
      </c>
      <c r="P16" s="15">
        <v>78045</v>
      </c>
      <c r="Q16" s="15">
        <v>108489</v>
      </c>
      <c r="R16" s="15"/>
      <c r="S16" s="15">
        <f t="shared" si="0"/>
        <v>129</v>
      </c>
      <c r="U16" s="10">
        <v>13</v>
      </c>
      <c r="V16" s="15">
        <v>1560</v>
      </c>
      <c r="W16" s="15">
        <v>2400</v>
      </c>
      <c r="X16" s="15">
        <v>5400</v>
      </c>
      <c r="Y16" s="15">
        <v>6600</v>
      </c>
      <c r="Z16" s="15"/>
      <c r="AA16" s="15">
        <f t="shared" si="1"/>
        <v>120</v>
      </c>
      <c r="AC16" s="36">
        <v>11</v>
      </c>
      <c r="AD16" s="38">
        <v>650</v>
      </c>
      <c r="AE16" s="38">
        <v>800</v>
      </c>
      <c r="AF16" s="38">
        <v>1000</v>
      </c>
      <c r="AH16" s="10">
        <f t="shared" si="4"/>
        <v>50</v>
      </c>
      <c r="AJ16" s="10">
        <v>13</v>
      </c>
      <c r="AK16" s="38">
        <v>400</v>
      </c>
      <c r="AL16" s="38">
        <v>500</v>
      </c>
      <c r="AM16" s="38">
        <v>350</v>
      </c>
      <c r="AN16" s="38">
        <v>250</v>
      </c>
      <c r="AO16" s="38">
        <f t="shared" si="5"/>
        <v>50</v>
      </c>
      <c r="AP16" s="36" t="str">
        <f t="shared" si="6"/>
        <v>5*5*2*1</v>
      </c>
      <c r="AQ16" s="10">
        <f t="shared" si="7"/>
        <v>6</v>
      </c>
      <c r="AR16" s="36" t="str">
        <f t="shared" si="8"/>
        <v>1, 2, 5, 10, 25, 50</v>
      </c>
    </row>
    <row r="17" spans="1:44">
      <c r="A17" s="10">
        <v>14</v>
      </c>
      <c r="B17" s="10">
        <v>22</v>
      </c>
      <c r="C17" s="10">
        <v>33</v>
      </c>
      <c r="D17" s="10">
        <v>44</v>
      </c>
      <c r="F17" s="10">
        <f t="shared" si="2"/>
        <v>11</v>
      </c>
      <c r="H17" s="10">
        <v>14</v>
      </c>
      <c r="I17" s="15">
        <v>207207</v>
      </c>
      <c r="J17" s="15">
        <v>479205</v>
      </c>
      <c r="K17" s="15">
        <f t="shared" si="3"/>
        <v>207</v>
      </c>
      <c r="M17" s="10">
        <v>14</v>
      </c>
      <c r="N17" s="15">
        <v>63860</v>
      </c>
      <c r="O17" s="15">
        <v>66340</v>
      </c>
      <c r="P17" s="15">
        <v>134385</v>
      </c>
      <c r="Q17" s="15">
        <v>206305</v>
      </c>
      <c r="R17" s="15"/>
      <c r="S17" s="15">
        <f t="shared" si="0"/>
        <v>155</v>
      </c>
      <c r="U17" s="10">
        <v>14</v>
      </c>
      <c r="V17" s="15">
        <v>840</v>
      </c>
      <c r="W17" s="15">
        <v>960</v>
      </c>
      <c r="X17" s="15">
        <v>7260</v>
      </c>
      <c r="Y17" s="15">
        <v>9135</v>
      </c>
      <c r="Z17" s="15"/>
      <c r="AA17" s="15">
        <f t="shared" si="1"/>
        <v>15</v>
      </c>
      <c r="AC17" s="36">
        <v>12</v>
      </c>
      <c r="AD17" s="38">
        <v>850</v>
      </c>
      <c r="AE17" s="38">
        <v>595</v>
      </c>
      <c r="AF17" s="38"/>
      <c r="AH17" s="10">
        <f t="shared" si="4"/>
        <v>85</v>
      </c>
      <c r="AJ17" s="10">
        <v>14</v>
      </c>
      <c r="AK17" s="38">
        <v>243</v>
      </c>
      <c r="AL17" s="38">
        <v>1215</v>
      </c>
      <c r="AM17" s="38">
        <v>2430</v>
      </c>
      <c r="AN17" s="38">
        <v>8100</v>
      </c>
      <c r="AO17" s="38">
        <f t="shared" si="5"/>
        <v>81</v>
      </c>
      <c r="AP17" s="36" t="str">
        <f t="shared" si="6"/>
        <v>3*3*3*3*1</v>
      </c>
      <c r="AQ17" s="10">
        <f t="shared" si="7"/>
        <v>5</v>
      </c>
      <c r="AR17" s="36" t="str">
        <f t="shared" si="8"/>
        <v>1, 3, 9, 27, 81</v>
      </c>
    </row>
    <row r="18" spans="1:44">
      <c r="A18" s="10">
        <v>15</v>
      </c>
      <c r="B18" s="10">
        <v>20</v>
      </c>
      <c r="C18" s="10">
        <v>28</v>
      </c>
      <c r="D18" s="10">
        <v>36</v>
      </c>
      <c r="E18" s="10">
        <v>40</v>
      </c>
      <c r="F18" s="10">
        <f t="shared" si="2"/>
        <v>4</v>
      </c>
      <c r="H18" s="10">
        <v>15</v>
      </c>
      <c r="I18" s="15">
        <v>9879</v>
      </c>
      <c r="J18" s="15">
        <v>333555</v>
      </c>
      <c r="K18" s="15">
        <f t="shared" si="3"/>
        <v>111</v>
      </c>
      <c r="M18" s="10">
        <v>15</v>
      </c>
      <c r="N18" s="15">
        <v>500</v>
      </c>
      <c r="O18" s="15">
        <v>560</v>
      </c>
      <c r="P18" s="15">
        <v>725</v>
      </c>
      <c r="Q18" s="15">
        <v>4350</v>
      </c>
      <c r="R18" s="15">
        <v>8200</v>
      </c>
      <c r="S18" s="15">
        <f t="shared" si="0"/>
        <v>5</v>
      </c>
      <c r="U18" s="10">
        <v>15</v>
      </c>
      <c r="V18" s="15">
        <v>3174</v>
      </c>
      <c r="W18" s="15">
        <v>4761</v>
      </c>
      <c r="X18" s="15">
        <v>9522</v>
      </c>
      <c r="Y18" s="15">
        <v>12696</v>
      </c>
      <c r="Z18" s="15"/>
      <c r="AA18" s="15">
        <f t="shared" si="1"/>
        <v>1587</v>
      </c>
      <c r="AC18" s="36">
        <v>13</v>
      </c>
      <c r="AD18" s="38">
        <v>20500</v>
      </c>
      <c r="AE18" s="38">
        <v>15000</v>
      </c>
      <c r="AF18" s="38"/>
      <c r="AH18" s="10">
        <f t="shared" si="4"/>
        <v>500</v>
      </c>
    </row>
    <row r="19" spans="1:44">
      <c r="A19" s="10">
        <v>16</v>
      </c>
      <c r="B19" s="10">
        <v>15</v>
      </c>
      <c r="C19" s="10">
        <v>20</v>
      </c>
      <c r="D19" s="10">
        <v>30</v>
      </c>
      <c r="E19" s="10">
        <v>60</v>
      </c>
      <c r="F19" s="10">
        <f t="shared" si="2"/>
        <v>5</v>
      </c>
      <c r="H19" s="10">
        <v>16</v>
      </c>
      <c r="I19" s="15">
        <v>35211</v>
      </c>
      <c r="J19" s="15">
        <v>198803</v>
      </c>
      <c r="K19" s="15">
        <f t="shared" si="3"/>
        <v>121</v>
      </c>
      <c r="M19" s="10">
        <v>16</v>
      </c>
      <c r="N19" s="15">
        <v>432</v>
      </c>
      <c r="O19" s="15">
        <v>648</v>
      </c>
      <c r="P19" s="15">
        <v>756</v>
      </c>
      <c r="Q19" s="15">
        <v>702</v>
      </c>
      <c r="R19" s="15">
        <v>621</v>
      </c>
      <c r="S19" s="15">
        <f t="shared" si="0"/>
        <v>27</v>
      </c>
      <c r="U19" s="10">
        <v>16</v>
      </c>
      <c r="V19" s="15">
        <v>171</v>
      </c>
      <c r="W19" s="15">
        <v>342</v>
      </c>
      <c r="X19" s="15">
        <v>513</v>
      </c>
      <c r="Y19" s="15">
        <v>684</v>
      </c>
      <c r="Z19" s="15"/>
      <c r="AA19" s="15">
        <f t="shared" si="1"/>
        <v>171</v>
      </c>
      <c r="AC19" s="36">
        <v>14</v>
      </c>
      <c r="AD19" s="38">
        <v>3675</v>
      </c>
      <c r="AE19" s="38">
        <v>1575</v>
      </c>
      <c r="AF19" s="38">
        <v>2275</v>
      </c>
      <c r="AH19" s="10">
        <f t="shared" si="4"/>
        <v>175</v>
      </c>
    </row>
    <row r="20" spans="1:44">
      <c r="A20" s="10">
        <v>17</v>
      </c>
      <c r="B20" s="10">
        <v>28</v>
      </c>
      <c r="C20" s="10">
        <v>42</v>
      </c>
      <c r="D20" s="10">
        <v>56</v>
      </c>
      <c r="E20" s="10">
        <v>70</v>
      </c>
      <c r="F20" s="10">
        <f t="shared" si="2"/>
        <v>14</v>
      </c>
      <c r="H20" s="10">
        <v>17</v>
      </c>
      <c r="I20" s="15">
        <v>77615</v>
      </c>
      <c r="J20" s="15">
        <v>108661</v>
      </c>
      <c r="K20" s="15">
        <f t="shared" si="3"/>
        <v>15523</v>
      </c>
      <c r="M20" s="10">
        <v>17</v>
      </c>
      <c r="N20" s="15">
        <v>3240</v>
      </c>
      <c r="O20" s="15">
        <v>5400</v>
      </c>
      <c r="P20" s="15">
        <v>5490</v>
      </c>
      <c r="Q20" s="15">
        <v>6300</v>
      </c>
      <c r="R20" s="15">
        <v>7110</v>
      </c>
      <c r="S20" s="15">
        <f t="shared" si="0"/>
        <v>90</v>
      </c>
      <c r="U20" s="10">
        <v>17</v>
      </c>
      <c r="V20" s="15">
        <v>500</v>
      </c>
      <c r="W20" s="15">
        <v>560</v>
      </c>
      <c r="X20" s="15">
        <v>725</v>
      </c>
      <c r="Y20" s="15">
        <v>4350</v>
      </c>
      <c r="Z20" s="15"/>
      <c r="AA20" s="15">
        <f t="shared" si="1"/>
        <v>5</v>
      </c>
    </row>
    <row r="21" spans="1:44">
      <c r="A21" s="10">
        <v>18</v>
      </c>
      <c r="B21" s="10">
        <v>32</v>
      </c>
      <c r="C21" s="10">
        <v>48</v>
      </c>
      <c r="D21" s="10">
        <v>64</v>
      </c>
      <c r="E21" s="10">
        <v>80</v>
      </c>
      <c r="F21" s="10">
        <f t="shared" si="2"/>
        <v>16</v>
      </c>
      <c r="H21" s="10">
        <v>18</v>
      </c>
      <c r="I21" s="15">
        <v>65880</v>
      </c>
      <c r="J21" s="15">
        <v>92415</v>
      </c>
      <c r="K21" s="15">
        <f t="shared" si="3"/>
        <v>915</v>
      </c>
      <c r="M21" s="10">
        <v>18</v>
      </c>
      <c r="N21" s="15">
        <v>486</v>
      </c>
      <c r="O21" s="15">
        <v>729</v>
      </c>
      <c r="P21" s="15">
        <v>891</v>
      </c>
      <c r="Q21" s="15">
        <v>1944</v>
      </c>
      <c r="R21" s="15">
        <v>4527</v>
      </c>
      <c r="S21" s="15">
        <f>GCD(GCD(GCD(GCD(N21,O21),P21),Q21),R21)</f>
        <v>9</v>
      </c>
      <c r="U21" s="10">
        <v>18</v>
      </c>
      <c r="V21" s="15">
        <v>850</v>
      </c>
      <c r="W21" s="15">
        <v>2550</v>
      </c>
      <c r="X21" s="15">
        <v>4250</v>
      </c>
      <c r="Y21" s="15">
        <v>12750</v>
      </c>
      <c r="Z21" s="15"/>
      <c r="AA21" s="15">
        <f t="shared" si="1"/>
        <v>850</v>
      </c>
    </row>
    <row r="22" spans="1:44">
      <c r="H22" s="10">
        <v>19</v>
      </c>
      <c r="I22" s="15">
        <v>1002001</v>
      </c>
      <c r="J22" s="15">
        <v>2136134</v>
      </c>
      <c r="K22" s="15">
        <f t="shared" si="3"/>
        <v>11011</v>
      </c>
      <c r="N22" s="36"/>
      <c r="O22" s="36"/>
      <c r="P22" s="36"/>
      <c r="Q22" s="36"/>
      <c r="R22" s="36"/>
      <c r="S22" s="36"/>
      <c r="U22" s="10">
        <v>19</v>
      </c>
      <c r="V22" s="15">
        <v>465</v>
      </c>
      <c r="W22" s="15">
        <v>744</v>
      </c>
      <c r="X22" s="15">
        <v>837</v>
      </c>
      <c r="Y22" s="15">
        <v>2511</v>
      </c>
      <c r="AA22" s="15">
        <f t="shared" si="1"/>
        <v>93</v>
      </c>
    </row>
    <row r="23" spans="1:44">
      <c r="H23" s="10">
        <v>20</v>
      </c>
      <c r="I23" s="15">
        <v>4008004</v>
      </c>
      <c r="J23" s="15">
        <v>4280276</v>
      </c>
      <c r="K23" s="15">
        <f t="shared" si="3"/>
        <v>4004</v>
      </c>
      <c r="U23" s="10">
        <v>20</v>
      </c>
      <c r="V23" s="15">
        <v>600</v>
      </c>
      <c r="W23" s="15">
        <v>1200</v>
      </c>
      <c r="X23" s="15">
        <v>1800</v>
      </c>
      <c r="Y23" s="15">
        <v>4800</v>
      </c>
      <c r="AA23" s="15">
        <f t="shared" si="1"/>
        <v>600</v>
      </c>
    </row>
    <row r="24" spans="1:44">
      <c r="U24" s="10">
        <v>21</v>
      </c>
      <c r="V24" s="15">
        <v>57</v>
      </c>
      <c r="W24" s="15">
        <v>133</v>
      </c>
      <c r="X24" s="15">
        <v>532</v>
      </c>
      <c r="Y24" s="15">
        <v>1824</v>
      </c>
      <c r="AA24" s="15">
        <f t="shared" si="1"/>
        <v>19</v>
      </c>
    </row>
    <row r="25" spans="1:44">
      <c r="U25" s="10">
        <v>22</v>
      </c>
      <c r="V25" s="15">
        <v>2645</v>
      </c>
      <c r="W25" s="15">
        <v>4232</v>
      </c>
      <c r="X25" s="15">
        <v>4761</v>
      </c>
      <c r="Y25" s="15">
        <v>5819</v>
      </c>
      <c r="AA25" s="15">
        <f t="shared" si="1"/>
        <v>529</v>
      </c>
    </row>
    <row r="26" spans="1:44">
      <c r="U26" s="10">
        <v>23</v>
      </c>
      <c r="V26" s="15">
        <v>2523</v>
      </c>
      <c r="W26" s="15">
        <v>5046</v>
      </c>
      <c r="X26" s="15">
        <v>5887</v>
      </c>
      <c r="Y26" s="15">
        <v>7569</v>
      </c>
      <c r="AA26" s="15">
        <f t="shared" si="1"/>
        <v>841</v>
      </c>
    </row>
    <row r="27" spans="1:44">
      <c r="U27" s="10">
        <v>24</v>
      </c>
      <c r="V27" s="15">
        <v>961</v>
      </c>
      <c r="W27" s="15">
        <v>2821</v>
      </c>
      <c r="X27" s="15">
        <v>2418</v>
      </c>
      <c r="Y27" s="15">
        <v>10571</v>
      </c>
      <c r="AA27" s="15">
        <f t="shared" si="1"/>
        <v>31</v>
      </c>
    </row>
    <row r="28" spans="1:44">
      <c r="U28" s="10">
        <v>25</v>
      </c>
      <c r="V28" s="15">
        <v>2738</v>
      </c>
      <c r="W28" s="15">
        <v>9583</v>
      </c>
      <c r="X28" s="15">
        <v>15059</v>
      </c>
      <c r="Y28" s="15">
        <v>3367</v>
      </c>
      <c r="Z28" s="15">
        <v>12691</v>
      </c>
      <c r="AA28" s="15">
        <f t="shared" si="1"/>
        <v>37</v>
      </c>
    </row>
  </sheetData>
  <mergeCells count="6">
    <mergeCell ref="AJ2:AO2"/>
    <mergeCell ref="A2:F2"/>
    <mergeCell ref="H2:K2"/>
    <mergeCell ref="M2:S2"/>
    <mergeCell ref="U2:AA2"/>
    <mergeCell ref="AC2:A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AL33"/>
  <sheetViews>
    <sheetView workbookViewId="0"/>
  </sheetViews>
  <sheetFormatPr baseColWidth="10" defaultRowHeight="15"/>
  <cols>
    <col min="1" max="9" width="10.83203125" style="10"/>
    <col min="10" max="10" width="9.6640625" style="10" customWidth="1"/>
    <col min="11" max="13" width="10.83203125" style="10"/>
    <col min="14" max="14" width="4.83203125" style="10" customWidth="1"/>
    <col min="15" max="15" width="9" style="10" customWidth="1"/>
    <col min="16" max="16" width="9.5" style="10" customWidth="1"/>
    <col min="17" max="17" width="10.83203125" style="10"/>
    <col min="18" max="18" width="9.83203125" style="10" customWidth="1"/>
    <col min="19" max="31" width="10.83203125" style="10"/>
    <col min="32" max="32" width="16" style="10" customWidth="1"/>
    <col min="33" max="34" width="16.6640625" style="10" customWidth="1"/>
    <col min="35" max="35" width="16.33203125" style="10" customWidth="1"/>
    <col min="36" max="37" width="16.1640625" style="10" customWidth="1"/>
    <col min="38" max="38" width="16.33203125" style="10" customWidth="1"/>
    <col min="39" max="16384" width="10.83203125" style="10"/>
  </cols>
  <sheetData>
    <row r="1" spans="1:38" ht="100" customHeight="1"/>
    <row r="2" spans="1:38">
      <c r="A2" s="11" t="s">
        <v>50</v>
      </c>
      <c r="B2" s="11"/>
      <c r="C2" s="11"/>
      <c r="D2" s="11"/>
      <c r="E2" s="11"/>
      <c r="F2" s="11"/>
      <c r="G2" s="11"/>
      <c r="H2" s="11"/>
      <c r="J2" s="11" t="s">
        <v>54</v>
      </c>
      <c r="K2" s="11"/>
      <c r="L2" s="11"/>
      <c r="M2" s="11"/>
      <c r="N2" s="11"/>
      <c r="O2" s="11"/>
      <c r="P2" s="11"/>
      <c r="R2" s="11" t="s">
        <v>55</v>
      </c>
      <c r="S2" s="11"/>
      <c r="T2" s="11"/>
      <c r="U2" s="11"/>
      <c r="V2" s="11"/>
      <c r="W2" s="11"/>
      <c r="X2" s="11"/>
      <c r="Z2" s="11" t="s">
        <v>55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32">
      <c r="A3" s="31" t="s">
        <v>4</v>
      </c>
      <c r="B3" s="31" t="s">
        <v>26</v>
      </c>
      <c r="C3" s="31" t="s">
        <v>33</v>
      </c>
      <c r="D3" s="31" t="s">
        <v>34</v>
      </c>
      <c r="E3" s="31" t="s">
        <v>35</v>
      </c>
      <c r="F3" s="31" t="s">
        <v>37</v>
      </c>
      <c r="G3" s="31" t="s">
        <v>52</v>
      </c>
      <c r="H3" s="31" t="s">
        <v>51</v>
      </c>
      <c r="J3" s="31" t="s">
        <v>4</v>
      </c>
      <c r="K3" s="31" t="s">
        <v>26</v>
      </c>
      <c r="L3" s="31" t="s">
        <v>33</v>
      </c>
      <c r="M3" s="31" t="s">
        <v>51</v>
      </c>
      <c r="N3" s="31" t="s">
        <v>36</v>
      </c>
      <c r="O3" s="31" t="s">
        <v>53</v>
      </c>
      <c r="P3" s="31" t="s">
        <v>33</v>
      </c>
      <c r="R3" s="31" t="s">
        <v>4</v>
      </c>
      <c r="S3" s="31" t="s">
        <v>26</v>
      </c>
      <c r="T3" s="31" t="s">
        <v>33</v>
      </c>
      <c r="U3" s="31" t="s">
        <v>34</v>
      </c>
      <c r="V3" s="31" t="s">
        <v>35</v>
      </c>
      <c r="W3" s="31" t="s">
        <v>37</v>
      </c>
      <c r="X3" s="31" t="s">
        <v>51</v>
      </c>
      <c r="Z3" s="31" t="s">
        <v>4</v>
      </c>
      <c r="AA3" s="31" t="s">
        <v>26</v>
      </c>
      <c r="AB3" s="31" t="s">
        <v>33</v>
      </c>
      <c r="AC3" s="31" t="s">
        <v>34</v>
      </c>
      <c r="AD3" s="31" t="s">
        <v>35</v>
      </c>
      <c r="AE3" s="31" t="s">
        <v>37</v>
      </c>
      <c r="AF3" s="31" t="s">
        <v>56</v>
      </c>
      <c r="AG3" s="31" t="s">
        <v>57</v>
      </c>
      <c r="AH3" s="31" t="s">
        <v>58</v>
      </c>
      <c r="AI3" s="31" t="s">
        <v>59</v>
      </c>
      <c r="AJ3" s="31" t="s">
        <v>60</v>
      </c>
      <c r="AK3" s="31" t="s">
        <v>61</v>
      </c>
      <c r="AL3" s="31" t="s">
        <v>61</v>
      </c>
    </row>
    <row r="4" spans="1:38" ht="17">
      <c r="A4" s="10">
        <v>1</v>
      </c>
      <c r="B4" s="10">
        <v>7</v>
      </c>
      <c r="C4" s="10">
        <v>14</v>
      </c>
      <c r="H4" s="10">
        <f>LCM(LCM(LCM(LCM(LCM(B4,C4),D4),E4),F4),G4)</f>
        <v>14</v>
      </c>
      <c r="J4" s="10">
        <v>1</v>
      </c>
      <c r="K4" s="38">
        <v>8</v>
      </c>
      <c r="L4" s="38">
        <v>9</v>
      </c>
      <c r="M4" s="38">
        <f>LCM(K4,L4)</f>
        <v>72</v>
      </c>
      <c r="R4" s="10">
        <v>1</v>
      </c>
      <c r="S4" s="38">
        <v>2</v>
      </c>
      <c r="T4" s="38">
        <v>3</v>
      </c>
      <c r="U4" s="38">
        <v>11</v>
      </c>
      <c r="V4" s="38"/>
      <c r="W4" s="38"/>
      <c r="X4" s="38">
        <f>LCM(LCM(LCM(LCM(S4,T4),U4),V4),W4)</f>
        <v>66</v>
      </c>
      <c r="Z4" s="10">
        <v>1</v>
      </c>
      <c r="AA4" s="38">
        <v>32</v>
      </c>
      <c r="AB4" s="38">
        <v>80</v>
      </c>
      <c r="AC4" s="38"/>
      <c r="AD4" s="38"/>
      <c r="AE4" s="38"/>
      <c r="AF4" s="15" t="str">
        <f>factores(AA4)</f>
        <v>2*2*2*2*2*1</v>
      </c>
      <c r="AG4" s="15" t="str">
        <f>factores(AB4)</f>
        <v>5*2*2*2*2*1</v>
      </c>
      <c r="AH4" s="15"/>
      <c r="AI4" s="15"/>
      <c r="AJ4" s="15"/>
      <c r="AK4" s="93" t="s">
        <v>64</v>
      </c>
      <c r="AL4" s="38">
        <f>5*2^5</f>
        <v>160</v>
      </c>
    </row>
    <row r="5" spans="1:38">
      <c r="A5" s="10">
        <v>2</v>
      </c>
      <c r="B5" s="10">
        <v>9</v>
      </c>
      <c r="C5" s="10">
        <v>18</v>
      </c>
      <c r="H5" s="10">
        <f t="shared" ref="H5:H33" si="0">LCM(LCM(LCM(LCM(LCM(B5,C5),D5),E5),F5),G5)</f>
        <v>18</v>
      </c>
      <c r="J5" s="10">
        <v>2</v>
      </c>
      <c r="K5" s="38">
        <v>36</v>
      </c>
      <c r="L5" s="38">
        <v>37</v>
      </c>
      <c r="M5" s="38">
        <f t="shared" ref="M5:M27" si="1">LCM(K5,L5)</f>
        <v>1332</v>
      </c>
      <c r="R5" s="10">
        <v>2</v>
      </c>
      <c r="S5" s="38">
        <v>7</v>
      </c>
      <c r="T5" s="38">
        <v>8</v>
      </c>
      <c r="U5" s="38">
        <v>9</v>
      </c>
      <c r="V5" s="38">
        <v>13</v>
      </c>
      <c r="W5" s="38"/>
      <c r="X5" s="38">
        <f t="shared" ref="X5:X25" si="2">LCM(LCM(LCM(LCM(S5,T5),U5),V5),W5)</f>
        <v>6552</v>
      </c>
      <c r="Z5" s="10">
        <v>2</v>
      </c>
      <c r="AA5" s="38">
        <v>46</v>
      </c>
      <c r="AB5" s="38">
        <v>69</v>
      </c>
      <c r="AC5" s="38"/>
      <c r="AD5" s="38"/>
      <c r="AE5" s="38"/>
      <c r="AF5" s="15" t="str">
        <f t="shared" ref="AF5:AF23" si="3">factores(AA5)</f>
        <v>23*2*1</v>
      </c>
      <c r="AG5" s="15" t="str">
        <f t="shared" ref="AG5:AJ23" si="4">factores(AB5)</f>
        <v>23*3*1</v>
      </c>
      <c r="AH5" s="15"/>
      <c r="AI5" s="15"/>
      <c r="AJ5" s="15"/>
      <c r="AK5" s="93" t="s">
        <v>62</v>
      </c>
      <c r="AL5" s="38">
        <f>23*2*3</f>
        <v>138</v>
      </c>
    </row>
    <row r="6" spans="1:38" ht="17">
      <c r="A6" s="10">
        <v>3</v>
      </c>
      <c r="B6" s="10">
        <v>3</v>
      </c>
      <c r="C6" s="10">
        <v>6</v>
      </c>
      <c r="D6" s="10">
        <v>12</v>
      </c>
      <c r="H6" s="10">
        <f t="shared" si="0"/>
        <v>12</v>
      </c>
      <c r="J6" s="10">
        <v>3</v>
      </c>
      <c r="K6" s="38">
        <v>96</v>
      </c>
      <c r="L6" s="38">
        <v>97</v>
      </c>
      <c r="M6" s="38">
        <f t="shared" si="1"/>
        <v>9312</v>
      </c>
      <c r="R6" s="10">
        <v>3</v>
      </c>
      <c r="S6" s="38">
        <v>15</v>
      </c>
      <c r="T6" s="38">
        <v>25</v>
      </c>
      <c r="U6" s="38">
        <v>75</v>
      </c>
      <c r="V6" s="38"/>
      <c r="W6" s="38"/>
      <c r="X6" s="38">
        <f t="shared" si="2"/>
        <v>75</v>
      </c>
      <c r="Z6" s="10">
        <v>3</v>
      </c>
      <c r="AA6" s="38">
        <v>18</v>
      </c>
      <c r="AB6" s="38">
        <v>24</v>
      </c>
      <c r="AC6" s="38">
        <v>40</v>
      </c>
      <c r="AD6" s="38"/>
      <c r="AE6" s="38"/>
      <c r="AF6" s="15" t="str">
        <f t="shared" si="3"/>
        <v>3*3*2*1</v>
      </c>
      <c r="AG6" s="15" t="str">
        <f t="shared" si="4"/>
        <v>3*2*2*2*1</v>
      </c>
      <c r="AH6" s="15" t="str">
        <f t="shared" si="4"/>
        <v>5*2*2*2*1</v>
      </c>
      <c r="AI6" s="15"/>
      <c r="AJ6" s="15"/>
      <c r="AK6" s="93" t="s">
        <v>65</v>
      </c>
      <c r="AL6" s="38">
        <f>3^2*2^3*5</f>
        <v>360</v>
      </c>
    </row>
    <row r="7" spans="1:38" ht="17">
      <c r="A7" s="10">
        <v>4</v>
      </c>
      <c r="B7" s="10">
        <v>5</v>
      </c>
      <c r="C7" s="10">
        <v>10</v>
      </c>
      <c r="D7" s="10">
        <v>20</v>
      </c>
      <c r="H7" s="10">
        <f t="shared" si="0"/>
        <v>20</v>
      </c>
      <c r="J7" s="10">
        <v>4</v>
      </c>
      <c r="K7" s="38">
        <v>101</v>
      </c>
      <c r="L7" s="38">
        <v>102</v>
      </c>
      <c r="M7" s="38">
        <f t="shared" si="1"/>
        <v>10302</v>
      </c>
      <c r="R7" s="10">
        <v>4</v>
      </c>
      <c r="S7" s="38">
        <v>2</v>
      </c>
      <c r="T7" s="38">
        <v>4</v>
      </c>
      <c r="U7" s="38">
        <v>8</v>
      </c>
      <c r="V7" s="38">
        <v>16</v>
      </c>
      <c r="W7" s="38"/>
      <c r="X7" s="38">
        <f t="shared" si="2"/>
        <v>16</v>
      </c>
      <c r="Z7" s="10">
        <v>4</v>
      </c>
      <c r="AA7" s="38">
        <v>32</v>
      </c>
      <c r="AB7" s="38">
        <v>48</v>
      </c>
      <c r="AC7" s="38">
        <v>108</v>
      </c>
      <c r="AD7" s="38"/>
      <c r="AE7" s="38"/>
      <c r="AF7" s="15" t="str">
        <f t="shared" si="3"/>
        <v>2*2*2*2*2*1</v>
      </c>
      <c r="AG7" s="15" t="str">
        <f t="shared" si="4"/>
        <v>3*2*2*2*2*1</v>
      </c>
      <c r="AH7" s="15" t="str">
        <f t="shared" si="4"/>
        <v>3*3*3*2*2*1</v>
      </c>
      <c r="AI7" s="15"/>
      <c r="AJ7" s="15"/>
      <c r="AK7" s="93" t="s">
        <v>66</v>
      </c>
      <c r="AL7" s="38">
        <f>2^5*3^3</f>
        <v>864</v>
      </c>
    </row>
    <row r="8" spans="1:38">
      <c r="A8" s="10">
        <v>5</v>
      </c>
      <c r="B8" s="10">
        <v>4</v>
      </c>
      <c r="C8" s="10">
        <v>8</v>
      </c>
      <c r="D8" s="10">
        <v>16</v>
      </c>
      <c r="E8" s="10">
        <v>32</v>
      </c>
      <c r="H8" s="10">
        <f t="shared" si="0"/>
        <v>32</v>
      </c>
      <c r="J8" s="10">
        <v>5</v>
      </c>
      <c r="K8" s="38">
        <v>14</v>
      </c>
      <c r="L8" s="38">
        <v>21</v>
      </c>
      <c r="M8" s="38">
        <f t="shared" si="1"/>
        <v>42</v>
      </c>
      <c r="R8" s="10">
        <v>5</v>
      </c>
      <c r="S8" s="38">
        <v>5</v>
      </c>
      <c r="T8" s="38">
        <v>10</v>
      </c>
      <c r="U8" s="38">
        <v>40</v>
      </c>
      <c r="V8" s="38">
        <v>80</v>
      </c>
      <c r="W8" s="38"/>
      <c r="X8" s="38">
        <f t="shared" si="2"/>
        <v>80</v>
      </c>
      <c r="Z8" s="10">
        <v>5</v>
      </c>
      <c r="AA8" s="38">
        <v>5</v>
      </c>
      <c r="AB8" s="38">
        <v>7</v>
      </c>
      <c r="AC8" s="38">
        <v>10</v>
      </c>
      <c r="AD8" s="38">
        <v>14</v>
      </c>
      <c r="AE8" s="38"/>
      <c r="AF8" s="15" t="str">
        <f t="shared" si="3"/>
        <v>5*1</v>
      </c>
      <c r="AG8" s="15" t="str">
        <f t="shared" si="4"/>
        <v>7*1</v>
      </c>
      <c r="AH8" s="15" t="str">
        <f t="shared" si="4"/>
        <v>5*2*1</v>
      </c>
      <c r="AI8" s="15" t="str">
        <f t="shared" si="4"/>
        <v>7*2*1</v>
      </c>
      <c r="AJ8" s="15"/>
      <c r="AK8" s="93" t="s">
        <v>63</v>
      </c>
      <c r="AL8" s="38">
        <f>7*5*2</f>
        <v>70</v>
      </c>
    </row>
    <row r="9" spans="1:38" ht="17">
      <c r="A9" s="10">
        <v>6</v>
      </c>
      <c r="B9" s="10">
        <v>10</v>
      </c>
      <c r="C9" s="10">
        <v>20</v>
      </c>
      <c r="D9" s="10">
        <v>40</v>
      </c>
      <c r="E9" s="10">
        <v>80</v>
      </c>
      <c r="H9" s="10">
        <f t="shared" si="0"/>
        <v>80</v>
      </c>
      <c r="J9" s="10">
        <v>6</v>
      </c>
      <c r="K9" s="38">
        <v>15</v>
      </c>
      <c r="L9" s="38">
        <v>45</v>
      </c>
      <c r="M9" s="38">
        <f t="shared" si="1"/>
        <v>45</v>
      </c>
      <c r="R9" s="10">
        <v>6</v>
      </c>
      <c r="S9" s="38">
        <v>7</v>
      </c>
      <c r="T9" s="38">
        <v>14</v>
      </c>
      <c r="U9" s="38">
        <v>28</v>
      </c>
      <c r="V9" s="38">
        <v>56</v>
      </c>
      <c r="W9" s="38"/>
      <c r="X9" s="38">
        <f t="shared" si="2"/>
        <v>56</v>
      </c>
      <c r="Z9" s="10">
        <v>6</v>
      </c>
      <c r="AA9" s="38">
        <v>2</v>
      </c>
      <c r="AB9" s="38">
        <v>3</v>
      </c>
      <c r="AC9" s="38">
        <v>6</v>
      </c>
      <c r="AD9" s="38">
        <v>12</v>
      </c>
      <c r="AE9" s="38">
        <v>50</v>
      </c>
      <c r="AF9" s="15" t="str">
        <f t="shared" si="3"/>
        <v>2*1</v>
      </c>
      <c r="AG9" s="15" t="str">
        <f t="shared" si="4"/>
        <v>3*1</v>
      </c>
      <c r="AH9" s="15" t="str">
        <f t="shared" si="4"/>
        <v>3*2*1</v>
      </c>
      <c r="AI9" s="15" t="str">
        <f t="shared" si="4"/>
        <v>3*2*2*1</v>
      </c>
      <c r="AJ9" s="15" t="str">
        <f t="shared" si="4"/>
        <v>5*5*2*1</v>
      </c>
      <c r="AK9" s="93" t="s">
        <v>67</v>
      </c>
      <c r="AL9" s="38">
        <f>2^2*3*5^2</f>
        <v>300</v>
      </c>
    </row>
    <row r="10" spans="1:38" ht="17">
      <c r="A10" s="10">
        <v>7</v>
      </c>
      <c r="B10" s="10">
        <v>2</v>
      </c>
      <c r="C10" s="10">
        <v>6</v>
      </c>
      <c r="D10" s="10">
        <v>18</v>
      </c>
      <c r="E10" s="10">
        <v>36</v>
      </c>
      <c r="H10" s="10">
        <f t="shared" si="0"/>
        <v>36</v>
      </c>
      <c r="J10" s="10">
        <v>7</v>
      </c>
      <c r="K10" s="38">
        <v>45</v>
      </c>
      <c r="L10" s="38">
        <v>90</v>
      </c>
      <c r="M10" s="38">
        <f t="shared" si="1"/>
        <v>90</v>
      </c>
      <c r="R10" s="10">
        <v>7</v>
      </c>
      <c r="S10" s="38">
        <v>15</v>
      </c>
      <c r="T10" s="38">
        <v>30</v>
      </c>
      <c r="U10" s="38">
        <v>45</v>
      </c>
      <c r="V10" s="38">
        <v>60</v>
      </c>
      <c r="W10" s="38"/>
      <c r="X10" s="38">
        <f t="shared" si="2"/>
        <v>180</v>
      </c>
      <c r="Z10" s="10">
        <v>7</v>
      </c>
      <c r="AA10" s="38">
        <v>100</v>
      </c>
      <c r="AB10" s="38">
        <v>500</v>
      </c>
      <c r="AC10" s="38">
        <v>700</v>
      </c>
      <c r="AD10" s="38">
        <v>1000</v>
      </c>
      <c r="AE10" s="38"/>
      <c r="AF10" s="15" t="str">
        <f t="shared" si="3"/>
        <v>5*5*2*2*1</v>
      </c>
      <c r="AG10" s="15" t="str">
        <f t="shared" si="4"/>
        <v>5*5*5*2*2*1</v>
      </c>
      <c r="AH10" s="15" t="str">
        <f t="shared" si="4"/>
        <v>7*5*5*2*2*1</v>
      </c>
      <c r="AI10" s="15" t="str">
        <f t="shared" si="4"/>
        <v>5*5*5*2*2*2*1</v>
      </c>
      <c r="AJ10" s="15"/>
      <c r="AK10" s="93" t="s">
        <v>68</v>
      </c>
      <c r="AL10" s="38">
        <f>2^3*5^3*7</f>
        <v>7000</v>
      </c>
    </row>
    <row r="11" spans="1:38" ht="17">
      <c r="A11" s="10">
        <v>8</v>
      </c>
      <c r="B11" s="10">
        <v>3</v>
      </c>
      <c r="C11" s="10">
        <v>15</v>
      </c>
      <c r="D11" s="10">
        <v>75</v>
      </c>
      <c r="E11" s="10">
        <v>375</v>
      </c>
      <c r="H11" s="10">
        <f t="shared" si="0"/>
        <v>375</v>
      </c>
      <c r="J11" s="10">
        <v>8</v>
      </c>
      <c r="K11" s="38">
        <v>105</v>
      </c>
      <c r="L11" s="38">
        <v>210</v>
      </c>
      <c r="M11" s="38">
        <f t="shared" si="1"/>
        <v>210</v>
      </c>
      <c r="R11" s="10">
        <v>8</v>
      </c>
      <c r="S11" s="38">
        <v>3</v>
      </c>
      <c r="T11" s="38">
        <v>5</v>
      </c>
      <c r="U11" s="38">
        <v>15</v>
      </c>
      <c r="V11" s="38">
        <v>21</v>
      </c>
      <c r="W11" s="38">
        <v>42</v>
      </c>
      <c r="X11" s="38">
        <f t="shared" si="2"/>
        <v>210</v>
      </c>
      <c r="Z11" s="10">
        <v>8</v>
      </c>
      <c r="AA11" s="38">
        <v>14</v>
      </c>
      <c r="AB11" s="38">
        <v>38</v>
      </c>
      <c r="AC11" s="38">
        <v>56</v>
      </c>
      <c r="AD11" s="38">
        <v>114</v>
      </c>
      <c r="AE11" s="38"/>
      <c r="AF11" s="15" t="str">
        <f t="shared" si="3"/>
        <v>7*2*1</v>
      </c>
      <c r="AG11" s="15" t="str">
        <f t="shared" si="4"/>
        <v>19*2*1</v>
      </c>
      <c r="AH11" s="15" t="str">
        <f t="shared" si="4"/>
        <v>7*2*2*2*1</v>
      </c>
      <c r="AI11" s="15" t="str">
        <f t="shared" si="4"/>
        <v>19*3*2*1</v>
      </c>
      <c r="AJ11" s="15"/>
      <c r="AK11" s="93" t="s">
        <v>69</v>
      </c>
      <c r="AL11" s="38">
        <f>2^3*3*7*19</f>
        <v>3192</v>
      </c>
    </row>
    <row r="12" spans="1:38" ht="17">
      <c r="A12" s="10">
        <v>9</v>
      </c>
      <c r="B12" s="10">
        <v>4</v>
      </c>
      <c r="C12" s="10">
        <v>6</v>
      </c>
      <c r="H12" s="10">
        <f t="shared" si="0"/>
        <v>12</v>
      </c>
      <c r="J12" s="10">
        <v>9</v>
      </c>
      <c r="K12" s="38">
        <v>109</v>
      </c>
      <c r="L12" s="38">
        <v>327</v>
      </c>
      <c r="M12" s="38">
        <f t="shared" si="1"/>
        <v>327</v>
      </c>
      <c r="R12" s="10">
        <v>9</v>
      </c>
      <c r="S12" s="38">
        <v>100</v>
      </c>
      <c r="T12" s="38">
        <v>300</v>
      </c>
      <c r="U12" s="38">
        <v>800</v>
      </c>
      <c r="V12" s="38">
        <v>900</v>
      </c>
      <c r="W12" s="38"/>
      <c r="X12" s="38">
        <f t="shared" si="2"/>
        <v>7200</v>
      </c>
      <c r="Z12" s="10">
        <v>9</v>
      </c>
      <c r="AA12" s="38">
        <v>13</v>
      </c>
      <c r="AB12" s="38">
        <v>19</v>
      </c>
      <c r="AC12" s="38">
        <v>39</v>
      </c>
      <c r="AD12" s="38">
        <v>342</v>
      </c>
      <c r="AE12" s="38"/>
      <c r="AF12" s="15" t="str">
        <f t="shared" si="3"/>
        <v>13*1</v>
      </c>
      <c r="AG12" s="15" t="str">
        <f t="shared" si="4"/>
        <v>19*1</v>
      </c>
      <c r="AH12" s="15" t="str">
        <f t="shared" si="4"/>
        <v>13*3*1</v>
      </c>
      <c r="AI12" s="15" t="str">
        <f t="shared" si="4"/>
        <v>19*3*3*2*1</v>
      </c>
      <c r="AJ12" s="15"/>
      <c r="AK12" s="93" t="s">
        <v>70</v>
      </c>
      <c r="AL12" s="38">
        <f>2*3^2*13*19</f>
        <v>4446</v>
      </c>
    </row>
    <row r="13" spans="1:38" ht="17">
      <c r="A13" s="10">
        <v>10</v>
      </c>
      <c r="B13" s="10">
        <v>8</v>
      </c>
      <c r="C13" s="10">
        <v>10</v>
      </c>
      <c r="H13" s="10">
        <f t="shared" si="0"/>
        <v>40</v>
      </c>
      <c r="J13" s="10">
        <v>10</v>
      </c>
      <c r="K13" s="38">
        <v>12</v>
      </c>
      <c r="L13" s="38">
        <v>40</v>
      </c>
      <c r="M13" s="38">
        <f t="shared" si="1"/>
        <v>120</v>
      </c>
      <c r="R13" s="10">
        <v>10</v>
      </c>
      <c r="S13" s="38">
        <v>15</v>
      </c>
      <c r="T13" s="38">
        <v>30</v>
      </c>
      <c r="U13" s="38">
        <v>60</v>
      </c>
      <c r="V13" s="38">
        <v>180</v>
      </c>
      <c r="W13" s="38"/>
      <c r="X13" s="38">
        <f t="shared" si="2"/>
        <v>180</v>
      </c>
      <c r="Z13" s="10">
        <v>10</v>
      </c>
      <c r="AA13" s="38">
        <v>15</v>
      </c>
      <c r="AB13" s="38">
        <v>16</v>
      </c>
      <c r="AC13" s="38">
        <v>48</v>
      </c>
      <c r="AD13" s="38">
        <v>150</v>
      </c>
      <c r="AE13" s="38"/>
      <c r="AF13" s="15" t="str">
        <f t="shared" si="3"/>
        <v>5*3*1</v>
      </c>
      <c r="AG13" s="15" t="str">
        <f t="shared" si="4"/>
        <v>2*2*2*2*1</v>
      </c>
      <c r="AH13" s="15" t="str">
        <f t="shared" si="4"/>
        <v>3*2*2*2*2*1</v>
      </c>
      <c r="AI13" s="15" t="str">
        <f t="shared" si="4"/>
        <v>5*5*3*2*1</v>
      </c>
      <c r="AJ13" s="15"/>
      <c r="AK13" s="93" t="s">
        <v>71</v>
      </c>
      <c r="AL13" s="38">
        <f>2^4*3*5^2</f>
        <v>1200</v>
      </c>
    </row>
    <row r="14" spans="1:38" ht="17">
      <c r="A14" s="10">
        <v>11</v>
      </c>
      <c r="B14" s="10">
        <v>9</v>
      </c>
      <c r="C14" s="10">
        <v>15</v>
      </c>
      <c r="H14" s="10">
        <f t="shared" si="0"/>
        <v>45</v>
      </c>
      <c r="J14" s="10">
        <v>11</v>
      </c>
      <c r="K14" s="38">
        <v>16</v>
      </c>
      <c r="L14" s="38">
        <v>30</v>
      </c>
      <c r="M14" s="38">
        <f t="shared" si="1"/>
        <v>240</v>
      </c>
      <c r="R14" s="10">
        <v>11</v>
      </c>
      <c r="S14" s="38">
        <v>8</v>
      </c>
      <c r="T14" s="38">
        <v>10</v>
      </c>
      <c r="U14" s="38">
        <v>15</v>
      </c>
      <c r="V14" s="38">
        <v>32</v>
      </c>
      <c r="W14" s="38"/>
      <c r="X14" s="38">
        <f t="shared" si="2"/>
        <v>480</v>
      </c>
      <c r="Z14" s="10">
        <v>11</v>
      </c>
      <c r="AA14" s="38">
        <v>14</v>
      </c>
      <c r="AB14" s="38">
        <v>28</v>
      </c>
      <c r="AC14" s="38">
        <v>30</v>
      </c>
      <c r="AD14" s="38">
        <v>120</v>
      </c>
      <c r="AE14" s="38"/>
      <c r="AF14" s="15" t="str">
        <f t="shared" si="3"/>
        <v>7*2*1</v>
      </c>
      <c r="AG14" s="15" t="str">
        <f t="shared" si="4"/>
        <v>7*2*2*1</v>
      </c>
      <c r="AH14" s="15" t="str">
        <f t="shared" si="4"/>
        <v>5*3*2*1</v>
      </c>
      <c r="AI14" s="15" t="str">
        <f t="shared" si="4"/>
        <v>5*3*2*2*2*1</v>
      </c>
      <c r="AJ14" s="15"/>
      <c r="AK14" s="93" t="s">
        <v>72</v>
      </c>
      <c r="AL14" s="38">
        <f>2^3*3*5*7</f>
        <v>840</v>
      </c>
    </row>
    <row r="15" spans="1:38" ht="17">
      <c r="A15" s="10">
        <v>12</v>
      </c>
      <c r="B15" s="10">
        <v>14</v>
      </c>
      <c r="C15" s="10">
        <v>21</v>
      </c>
      <c r="H15" s="10">
        <f t="shared" si="0"/>
        <v>42</v>
      </c>
      <c r="J15" s="10">
        <v>12</v>
      </c>
      <c r="K15" s="38">
        <v>12</v>
      </c>
      <c r="L15" s="38">
        <v>44</v>
      </c>
      <c r="M15" s="38">
        <f t="shared" si="1"/>
        <v>132</v>
      </c>
      <c r="R15" s="10">
        <v>12</v>
      </c>
      <c r="S15" s="38">
        <v>9</v>
      </c>
      <c r="T15" s="38">
        <v>12</v>
      </c>
      <c r="U15" s="38">
        <v>16</v>
      </c>
      <c r="V15" s="38">
        <v>25</v>
      </c>
      <c r="W15" s="38"/>
      <c r="X15" s="38">
        <f t="shared" si="2"/>
        <v>3600</v>
      </c>
      <c r="Z15" s="10">
        <v>12</v>
      </c>
      <c r="AA15" s="38">
        <v>96</v>
      </c>
      <c r="AB15" s="38">
        <v>102</v>
      </c>
      <c r="AC15" s="38">
        <v>192</v>
      </c>
      <c r="AD15" s="38">
        <v>306</v>
      </c>
      <c r="AE15" s="38"/>
      <c r="AF15" s="15" t="str">
        <f t="shared" si="3"/>
        <v>3*2*2*2*2*2*1</v>
      </c>
      <c r="AG15" s="15" t="str">
        <f t="shared" si="4"/>
        <v>17*3*2*1</v>
      </c>
      <c r="AH15" s="15" t="str">
        <f t="shared" si="4"/>
        <v>3*2*2*2*2*2*2*1</v>
      </c>
      <c r="AI15" s="15" t="str">
        <f t="shared" si="4"/>
        <v>17*3*3*2*1</v>
      </c>
      <c r="AJ15" s="15"/>
      <c r="AK15" s="93" t="s">
        <v>73</v>
      </c>
      <c r="AL15" s="38">
        <f>2^6*3^2*17</f>
        <v>9792</v>
      </c>
    </row>
    <row r="16" spans="1:38" ht="17">
      <c r="A16" s="10">
        <v>13</v>
      </c>
      <c r="B16" s="10">
        <v>12</v>
      </c>
      <c r="C16" s="10">
        <v>15</v>
      </c>
      <c r="H16" s="10">
        <f t="shared" si="0"/>
        <v>60</v>
      </c>
      <c r="J16" s="10">
        <v>13</v>
      </c>
      <c r="K16" s="38">
        <v>80</v>
      </c>
      <c r="L16" s="38">
        <v>120</v>
      </c>
      <c r="M16" s="38">
        <f t="shared" si="1"/>
        <v>240</v>
      </c>
      <c r="R16" s="10">
        <v>13</v>
      </c>
      <c r="S16" s="38">
        <v>16</v>
      </c>
      <c r="T16" s="38">
        <v>84</v>
      </c>
      <c r="U16" s="38">
        <v>114</v>
      </c>
      <c r="V16" s="38"/>
      <c r="W16" s="38"/>
      <c r="X16" s="38">
        <f t="shared" si="2"/>
        <v>6384</v>
      </c>
      <c r="Z16" s="10">
        <v>13</v>
      </c>
      <c r="AA16" s="38">
        <v>108</v>
      </c>
      <c r="AB16" s="38">
        <v>216</v>
      </c>
      <c r="AC16" s="38">
        <v>432</v>
      </c>
      <c r="AD16" s="38">
        <v>500</v>
      </c>
      <c r="AE16" s="38"/>
      <c r="AF16" s="15" t="str">
        <f t="shared" si="3"/>
        <v>3*3*3*2*2*1</v>
      </c>
      <c r="AG16" s="15" t="str">
        <f t="shared" si="4"/>
        <v>3*3*3*2*2*2*1</v>
      </c>
      <c r="AH16" s="15" t="str">
        <f t="shared" si="4"/>
        <v>3*3*3*2*2*2*2*1</v>
      </c>
      <c r="AI16" s="15" t="str">
        <f t="shared" si="4"/>
        <v>5*5*5*2*2*1</v>
      </c>
      <c r="AJ16" s="15"/>
      <c r="AK16" s="93" t="s">
        <v>74</v>
      </c>
      <c r="AL16" s="38">
        <f>2^4*3^3*5^3</f>
        <v>54000</v>
      </c>
    </row>
    <row r="17" spans="1:38" ht="17">
      <c r="A17" s="10">
        <v>14</v>
      </c>
      <c r="B17" s="10">
        <v>16</v>
      </c>
      <c r="C17" s="10">
        <v>24</v>
      </c>
      <c r="H17" s="10">
        <f t="shared" si="0"/>
        <v>48</v>
      </c>
      <c r="J17" s="10">
        <v>14</v>
      </c>
      <c r="K17" s="38">
        <v>96</v>
      </c>
      <c r="L17" s="38">
        <v>108</v>
      </c>
      <c r="M17" s="38">
        <f t="shared" si="1"/>
        <v>864</v>
      </c>
      <c r="R17" s="10">
        <v>14</v>
      </c>
      <c r="S17" s="38">
        <v>110</v>
      </c>
      <c r="T17" s="38">
        <v>115</v>
      </c>
      <c r="U17" s="38">
        <v>540</v>
      </c>
      <c r="V17" s="38"/>
      <c r="W17" s="38"/>
      <c r="X17" s="38">
        <f t="shared" si="2"/>
        <v>136620</v>
      </c>
      <c r="Z17" s="10">
        <v>14</v>
      </c>
      <c r="AA17" s="38">
        <v>21</v>
      </c>
      <c r="AB17" s="38">
        <v>39</v>
      </c>
      <c r="AC17" s="38">
        <v>60</v>
      </c>
      <c r="AD17" s="38">
        <v>200</v>
      </c>
      <c r="AE17" s="38"/>
      <c r="AF17" s="15" t="str">
        <f t="shared" si="3"/>
        <v>7*3*1</v>
      </c>
      <c r="AG17" s="15" t="str">
        <f t="shared" si="4"/>
        <v>13*3*1</v>
      </c>
      <c r="AH17" s="15" t="str">
        <f t="shared" si="4"/>
        <v>5*3*2*2*1</v>
      </c>
      <c r="AI17" s="15" t="str">
        <f t="shared" si="4"/>
        <v>5*5*2*2*2*1</v>
      </c>
      <c r="AJ17" s="15"/>
      <c r="AK17" s="93" t="s">
        <v>75</v>
      </c>
      <c r="AL17" s="38">
        <f>2^3*3*5^2*7*13</f>
        <v>54600</v>
      </c>
    </row>
    <row r="18" spans="1:38" ht="17">
      <c r="A18" s="10">
        <v>15</v>
      </c>
      <c r="B18" s="10">
        <v>21</v>
      </c>
      <c r="C18" s="10">
        <v>28</v>
      </c>
      <c r="H18" s="10">
        <f t="shared" si="0"/>
        <v>84</v>
      </c>
      <c r="J18" s="10">
        <v>15</v>
      </c>
      <c r="K18" s="38">
        <v>104</v>
      </c>
      <c r="L18" s="38">
        <v>200</v>
      </c>
      <c r="M18" s="38">
        <f t="shared" si="1"/>
        <v>2600</v>
      </c>
      <c r="R18" s="10">
        <v>15</v>
      </c>
      <c r="S18" s="38">
        <v>210</v>
      </c>
      <c r="T18" s="38">
        <v>360</v>
      </c>
      <c r="U18" s="38">
        <v>548</v>
      </c>
      <c r="V18" s="38"/>
      <c r="W18" s="38"/>
      <c r="X18" s="38">
        <f t="shared" si="2"/>
        <v>345240</v>
      </c>
      <c r="Z18" s="10">
        <v>15</v>
      </c>
      <c r="AA18" s="38">
        <v>81</v>
      </c>
      <c r="AB18" s="38">
        <v>100</v>
      </c>
      <c r="AC18" s="38">
        <v>300</v>
      </c>
      <c r="AD18" s="38">
        <v>350</v>
      </c>
      <c r="AE18" s="38">
        <v>400</v>
      </c>
      <c r="AF18" s="15" t="str">
        <f t="shared" si="3"/>
        <v>3*3*3*3*1</v>
      </c>
      <c r="AG18" s="15" t="str">
        <f t="shared" si="4"/>
        <v>5*5*2*2*1</v>
      </c>
      <c r="AH18" s="15" t="str">
        <f t="shared" si="4"/>
        <v>5*5*3*2*2*1</v>
      </c>
      <c r="AI18" s="15" t="str">
        <f t="shared" si="4"/>
        <v>7*5*5*2*1</v>
      </c>
      <c r="AJ18" s="15" t="str">
        <f t="shared" si="4"/>
        <v>5*5*2*2*2*2*1</v>
      </c>
      <c r="AK18" s="93" t="s">
        <v>76</v>
      </c>
      <c r="AL18" s="38">
        <f>2^4*3^4*5^2*7</f>
        <v>226800</v>
      </c>
    </row>
    <row r="19" spans="1:38" ht="17">
      <c r="A19" s="10">
        <v>16</v>
      </c>
      <c r="B19" s="10">
        <v>30</v>
      </c>
      <c r="C19" s="10">
        <v>15</v>
      </c>
      <c r="D19" s="10">
        <v>60</v>
      </c>
      <c r="H19" s="10">
        <f t="shared" si="0"/>
        <v>60</v>
      </c>
      <c r="J19" s="10">
        <v>16</v>
      </c>
      <c r="K19" s="38">
        <v>125</v>
      </c>
      <c r="L19" s="38">
        <v>360</v>
      </c>
      <c r="M19" s="38">
        <f t="shared" si="1"/>
        <v>9000</v>
      </c>
      <c r="R19" s="10">
        <v>16</v>
      </c>
      <c r="S19" s="38">
        <v>100</v>
      </c>
      <c r="T19" s="38">
        <v>500</v>
      </c>
      <c r="U19" s="38">
        <v>2100</v>
      </c>
      <c r="V19" s="38">
        <v>3000</v>
      </c>
      <c r="W19" s="38"/>
      <c r="X19" s="38">
        <f t="shared" si="2"/>
        <v>21000</v>
      </c>
      <c r="Z19" s="10">
        <v>16</v>
      </c>
      <c r="AA19" s="38">
        <v>98</v>
      </c>
      <c r="AB19" s="38">
        <v>490</v>
      </c>
      <c r="AC19" s="38">
        <v>2401</v>
      </c>
      <c r="AD19" s="38">
        <v>4900</v>
      </c>
      <c r="AE19" s="38"/>
      <c r="AF19" s="15" t="str">
        <f t="shared" si="3"/>
        <v>7*7*2*1</v>
      </c>
      <c r="AG19" s="15" t="str">
        <f t="shared" si="4"/>
        <v>7*7*5*2*1</v>
      </c>
      <c r="AH19" s="15" t="str">
        <f t="shared" si="4"/>
        <v>7*7*7*7*1</v>
      </c>
      <c r="AI19" s="15" t="str">
        <f t="shared" si="4"/>
        <v>7*7*5*5*2*2*1</v>
      </c>
      <c r="AJ19" s="15"/>
      <c r="AK19" s="93" t="s">
        <v>77</v>
      </c>
      <c r="AL19" s="38">
        <f>2 ^2*5^2*7^4</f>
        <v>240100</v>
      </c>
    </row>
    <row r="20" spans="1:38" ht="17">
      <c r="A20" s="10">
        <v>17</v>
      </c>
      <c r="B20" s="10">
        <v>121</v>
      </c>
      <c r="C20" s="10">
        <v>605</v>
      </c>
      <c r="D20" s="10">
        <v>1210</v>
      </c>
      <c r="H20" s="10">
        <f t="shared" si="0"/>
        <v>1210</v>
      </c>
      <c r="J20" s="10">
        <v>17</v>
      </c>
      <c r="K20" s="38">
        <v>124</v>
      </c>
      <c r="L20" s="38">
        <v>160</v>
      </c>
      <c r="M20" s="38">
        <f t="shared" si="1"/>
        <v>4960</v>
      </c>
      <c r="R20" s="10">
        <v>17</v>
      </c>
      <c r="S20" s="38">
        <v>56</v>
      </c>
      <c r="T20" s="38">
        <v>72</v>
      </c>
      <c r="U20" s="38">
        <v>124</v>
      </c>
      <c r="V20" s="38">
        <v>360</v>
      </c>
      <c r="W20" s="38"/>
      <c r="X20" s="38">
        <f t="shared" si="2"/>
        <v>78120</v>
      </c>
      <c r="Z20" s="10">
        <v>17</v>
      </c>
      <c r="AA20" s="38">
        <v>91</v>
      </c>
      <c r="AB20" s="38">
        <v>845</v>
      </c>
      <c r="AC20" s="38">
        <v>1690</v>
      </c>
      <c r="AD20" s="38">
        <v>2197</v>
      </c>
      <c r="AE20" s="38"/>
      <c r="AF20" s="15" t="str">
        <f t="shared" si="3"/>
        <v>13*7*1</v>
      </c>
      <c r="AG20" s="15" t="str">
        <f t="shared" si="4"/>
        <v>13*13*5*1</v>
      </c>
      <c r="AH20" s="15" t="str">
        <f t="shared" si="4"/>
        <v>13*13*5*2*1</v>
      </c>
      <c r="AI20" s="15" t="str">
        <f t="shared" si="4"/>
        <v>13*13*13*1</v>
      </c>
      <c r="AJ20" s="15"/>
      <c r="AK20" s="93" t="s">
        <v>78</v>
      </c>
      <c r="AL20" s="38">
        <f>2*5*7*13^3</f>
        <v>153790</v>
      </c>
    </row>
    <row r="21" spans="1:38" ht="17">
      <c r="A21" s="10">
        <v>18</v>
      </c>
      <c r="B21" s="10">
        <v>2</v>
      </c>
      <c r="C21" s="10">
        <v>6</v>
      </c>
      <c r="D21" s="10">
        <v>9</v>
      </c>
      <c r="H21" s="10">
        <f t="shared" si="0"/>
        <v>18</v>
      </c>
      <c r="J21" s="10">
        <v>18</v>
      </c>
      <c r="K21" s="38">
        <v>140</v>
      </c>
      <c r="L21" s="38">
        <v>343</v>
      </c>
      <c r="M21" s="38">
        <f t="shared" si="1"/>
        <v>6860</v>
      </c>
      <c r="R21" s="10">
        <v>18</v>
      </c>
      <c r="S21" s="38">
        <v>105</v>
      </c>
      <c r="T21" s="38">
        <v>306</v>
      </c>
      <c r="U21" s="38">
        <v>405</v>
      </c>
      <c r="V21" s="38">
        <v>504</v>
      </c>
      <c r="W21" s="38"/>
      <c r="X21" s="38">
        <f t="shared" si="2"/>
        <v>385560</v>
      </c>
      <c r="Z21" s="10">
        <v>18</v>
      </c>
      <c r="AA21" s="38">
        <v>529</v>
      </c>
      <c r="AB21" s="38">
        <v>1058</v>
      </c>
      <c r="AC21" s="38">
        <v>1587</v>
      </c>
      <c r="AD21" s="38">
        <v>5290</v>
      </c>
      <c r="AE21" s="38"/>
      <c r="AF21" s="15" t="str">
        <f t="shared" si="3"/>
        <v>23*23*1</v>
      </c>
      <c r="AG21" s="15" t="str">
        <f t="shared" si="4"/>
        <v>23*23*2*1</v>
      </c>
      <c r="AH21" s="15" t="str">
        <f t="shared" si="4"/>
        <v>23*23*3*1</v>
      </c>
      <c r="AI21" s="15" t="str">
        <f t="shared" si="4"/>
        <v>23*23*5*2*1</v>
      </c>
      <c r="AJ21" s="15"/>
      <c r="AK21" s="93" t="s">
        <v>79</v>
      </c>
      <c r="AL21" s="38">
        <f>2*3*5*23^2</f>
        <v>15870</v>
      </c>
    </row>
    <row r="22" spans="1:38" ht="17">
      <c r="A22" s="10">
        <v>19</v>
      </c>
      <c r="B22" s="10">
        <v>5</v>
      </c>
      <c r="C22" s="10">
        <v>10</v>
      </c>
      <c r="D22" s="10">
        <v>15</v>
      </c>
      <c r="H22" s="10">
        <f t="shared" si="0"/>
        <v>30</v>
      </c>
      <c r="J22" s="10">
        <v>19</v>
      </c>
      <c r="K22" s="38">
        <v>254</v>
      </c>
      <c r="L22" s="38">
        <v>360</v>
      </c>
      <c r="M22" s="38">
        <f t="shared" si="1"/>
        <v>45720</v>
      </c>
      <c r="R22" s="10">
        <v>19</v>
      </c>
      <c r="S22" s="38">
        <v>13</v>
      </c>
      <c r="T22" s="38">
        <v>91</v>
      </c>
      <c r="U22" s="38">
        <v>104</v>
      </c>
      <c r="V22" s="38">
        <v>143</v>
      </c>
      <c r="W22" s="38"/>
      <c r="X22" s="38">
        <f t="shared" si="2"/>
        <v>8008</v>
      </c>
      <c r="Z22" s="10">
        <v>19</v>
      </c>
      <c r="AA22" s="38">
        <v>841</v>
      </c>
      <c r="AB22" s="38">
        <v>1682</v>
      </c>
      <c r="AC22" s="38">
        <v>2523</v>
      </c>
      <c r="AD22" s="38">
        <v>5887</v>
      </c>
      <c r="AE22" s="38"/>
      <c r="AF22" s="15" t="str">
        <f t="shared" si="3"/>
        <v>29*29*1</v>
      </c>
      <c r="AG22" s="15" t="str">
        <f t="shared" si="4"/>
        <v>29*29*2*1</v>
      </c>
      <c r="AH22" s="15" t="str">
        <f t="shared" si="4"/>
        <v>29*29*3*1</v>
      </c>
      <c r="AI22" s="15" t="str">
        <f t="shared" si="4"/>
        <v>29*29*7*1</v>
      </c>
      <c r="AJ22" s="15"/>
      <c r="AK22" s="93" t="s">
        <v>80</v>
      </c>
      <c r="AL22" s="38">
        <f>2*3*7*29^2</f>
        <v>35322</v>
      </c>
    </row>
    <row r="23" spans="1:38" ht="17">
      <c r="A23" s="10">
        <v>20</v>
      </c>
      <c r="B23" s="10">
        <v>3</v>
      </c>
      <c r="C23" s="10">
        <v>5</v>
      </c>
      <c r="D23" s="10">
        <v>6</v>
      </c>
      <c r="H23" s="10">
        <f t="shared" si="0"/>
        <v>30</v>
      </c>
      <c r="J23" s="10">
        <v>20</v>
      </c>
      <c r="K23" s="38">
        <v>320</v>
      </c>
      <c r="L23" s="38">
        <v>848</v>
      </c>
      <c r="M23" s="38">
        <f t="shared" si="1"/>
        <v>16960</v>
      </c>
      <c r="R23" s="10">
        <v>20</v>
      </c>
      <c r="S23" s="38">
        <v>58</v>
      </c>
      <c r="T23" s="38">
        <v>85</v>
      </c>
      <c r="U23" s="38">
        <v>121</v>
      </c>
      <c r="V23" s="38">
        <v>145</v>
      </c>
      <c r="W23" s="38">
        <v>154</v>
      </c>
      <c r="X23" s="38">
        <f t="shared" si="2"/>
        <v>4175710</v>
      </c>
      <c r="Z23" s="10">
        <v>20</v>
      </c>
      <c r="AA23" s="38">
        <v>5476</v>
      </c>
      <c r="AB23" s="38">
        <v>6845</v>
      </c>
      <c r="AC23" s="38">
        <v>13690</v>
      </c>
      <c r="AD23" s="38">
        <v>16428</v>
      </c>
      <c r="AE23" s="38">
        <v>20535</v>
      </c>
      <c r="AF23" s="15" t="str">
        <f t="shared" si="3"/>
        <v>37*37*2*2*1</v>
      </c>
      <c r="AG23" s="15" t="str">
        <f t="shared" si="4"/>
        <v>37*37*5*1</v>
      </c>
      <c r="AH23" s="15" t="str">
        <f t="shared" si="4"/>
        <v>37*37*5*2*1</v>
      </c>
      <c r="AI23" s="15" t="str">
        <f t="shared" si="4"/>
        <v>37*37*3*2*2*1</v>
      </c>
      <c r="AJ23" s="15" t="str">
        <f t="shared" si="4"/>
        <v>37*37*5*3*1</v>
      </c>
      <c r="AK23" s="93" t="s">
        <v>81</v>
      </c>
      <c r="AL23" s="38">
        <f>2^2*3*5*37^2</f>
        <v>82140</v>
      </c>
    </row>
    <row r="24" spans="1:38">
      <c r="A24" s="10">
        <v>21</v>
      </c>
      <c r="B24" s="10">
        <v>2</v>
      </c>
      <c r="C24" s="10">
        <v>3</v>
      </c>
      <c r="D24" s="10">
        <v>9</v>
      </c>
      <c r="H24" s="10">
        <f t="shared" si="0"/>
        <v>18</v>
      </c>
      <c r="J24" s="10">
        <v>21</v>
      </c>
      <c r="K24" s="38">
        <v>930</v>
      </c>
      <c r="L24" s="38">
        <v>3100</v>
      </c>
      <c r="M24" s="38">
        <f t="shared" si="1"/>
        <v>9300</v>
      </c>
      <c r="R24" s="10">
        <v>21</v>
      </c>
      <c r="S24" s="38">
        <v>108</v>
      </c>
      <c r="T24" s="38">
        <v>216</v>
      </c>
      <c r="U24" s="38">
        <v>306</v>
      </c>
      <c r="V24" s="38">
        <v>2040</v>
      </c>
      <c r="W24" s="38">
        <v>4080</v>
      </c>
      <c r="X24" s="38">
        <f t="shared" si="2"/>
        <v>36720</v>
      </c>
    </row>
    <row r="25" spans="1:38">
      <c r="A25" s="10">
        <v>22</v>
      </c>
      <c r="B25" s="10">
        <v>2</v>
      </c>
      <c r="C25" s="10">
        <v>3</v>
      </c>
      <c r="D25" s="10">
        <v>4</v>
      </c>
      <c r="E25" s="10">
        <v>6</v>
      </c>
      <c r="H25" s="10">
        <f t="shared" si="0"/>
        <v>12</v>
      </c>
      <c r="J25" s="10">
        <v>22</v>
      </c>
      <c r="K25" s="38">
        <v>7856</v>
      </c>
      <c r="L25" s="38">
        <v>9293</v>
      </c>
      <c r="M25" s="38">
        <f t="shared" si="1"/>
        <v>73005808</v>
      </c>
      <c r="R25" s="10">
        <v>22</v>
      </c>
      <c r="S25" s="38">
        <v>33</v>
      </c>
      <c r="T25" s="38">
        <v>49</v>
      </c>
      <c r="U25" s="38">
        <v>165</v>
      </c>
      <c r="V25" s="38">
        <v>245</v>
      </c>
      <c r="W25" s="38">
        <v>343</v>
      </c>
      <c r="X25" s="38">
        <f t="shared" si="2"/>
        <v>56595</v>
      </c>
    </row>
    <row r="26" spans="1:38">
      <c r="A26" s="10">
        <v>23</v>
      </c>
      <c r="B26" s="10">
        <v>2</v>
      </c>
      <c r="C26" s="10">
        <v>3</v>
      </c>
      <c r="D26" s="10">
        <v>5</v>
      </c>
      <c r="E26" s="10">
        <v>6</v>
      </c>
      <c r="H26" s="10">
        <f t="shared" si="0"/>
        <v>30</v>
      </c>
      <c r="J26" s="10">
        <v>23</v>
      </c>
      <c r="K26" s="38">
        <v>9504</v>
      </c>
      <c r="L26" s="38">
        <v>14688</v>
      </c>
      <c r="M26" s="38">
        <f t="shared" si="1"/>
        <v>161568</v>
      </c>
    </row>
    <row r="27" spans="1:38">
      <c r="A27" s="10">
        <v>24</v>
      </c>
      <c r="B27" s="10">
        <v>3</v>
      </c>
      <c r="C27" s="10">
        <v>4</v>
      </c>
      <c r="D27" s="10">
        <v>10</v>
      </c>
      <c r="E27" s="10">
        <v>15</v>
      </c>
      <c r="H27" s="10">
        <f t="shared" si="0"/>
        <v>60</v>
      </c>
      <c r="J27" s="10">
        <v>24</v>
      </c>
      <c r="K27" s="38">
        <v>10108</v>
      </c>
      <c r="L27" s="38">
        <v>15162</v>
      </c>
      <c r="M27" s="38">
        <f t="shared" si="1"/>
        <v>30324</v>
      </c>
    </row>
    <row r="28" spans="1:38">
      <c r="A28" s="10">
        <v>25</v>
      </c>
      <c r="B28" s="10">
        <v>4</v>
      </c>
      <c r="C28" s="10">
        <v>5</v>
      </c>
      <c r="D28" s="10">
        <v>8</v>
      </c>
      <c r="E28" s="10">
        <v>20</v>
      </c>
      <c r="H28" s="10">
        <f t="shared" si="0"/>
        <v>40</v>
      </c>
      <c r="J28" s="10">
        <v>25</v>
      </c>
      <c r="K28" s="38"/>
      <c r="L28" s="38"/>
      <c r="M28" s="38">
        <v>16</v>
      </c>
      <c r="N28" s="10">
        <v>2</v>
      </c>
      <c r="O28" s="10">
        <f>M28*N28</f>
        <v>32</v>
      </c>
    </row>
    <row r="29" spans="1:38">
      <c r="A29" s="10">
        <v>26</v>
      </c>
      <c r="B29" s="10">
        <v>2</v>
      </c>
      <c r="C29" s="10">
        <v>5</v>
      </c>
      <c r="D29" s="10">
        <v>10</v>
      </c>
      <c r="E29" s="10">
        <v>25</v>
      </c>
      <c r="H29" s="10">
        <f t="shared" si="0"/>
        <v>50</v>
      </c>
      <c r="J29" s="10">
        <v>26</v>
      </c>
      <c r="K29" s="38"/>
      <c r="L29" s="38"/>
      <c r="M29" s="38">
        <v>230</v>
      </c>
      <c r="N29" s="10">
        <v>115</v>
      </c>
      <c r="O29" s="38">
        <f>M29*N29</f>
        <v>26450</v>
      </c>
    </row>
    <row r="30" spans="1:38">
      <c r="A30" s="10">
        <v>27</v>
      </c>
      <c r="B30" s="10">
        <v>4</v>
      </c>
      <c r="C30" s="10">
        <v>10</v>
      </c>
      <c r="D30" s="10">
        <v>15</v>
      </c>
      <c r="E30" s="10">
        <v>20</v>
      </c>
      <c r="F30" s="10">
        <v>30</v>
      </c>
      <c r="H30" s="10">
        <f t="shared" si="0"/>
        <v>60</v>
      </c>
      <c r="J30" s="10">
        <v>27</v>
      </c>
      <c r="K30" s="38">
        <v>18</v>
      </c>
      <c r="M30" s="10">
        <v>450</v>
      </c>
      <c r="N30" s="10">
        <v>3</v>
      </c>
      <c r="P30" s="10">
        <f>M30*N30/K30</f>
        <v>75</v>
      </c>
    </row>
    <row r="31" spans="1:38">
      <c r="A31" s="10">
        <v>28</v>
      </c>
      <c r="B31" s="10">
        <v>5</v>
      </c>
      <c r="C31" s="10">
        <v>10</v>
      </c>
      <c r="D31" s="10">
        <v>15</v>
      </c>
      <c r="E31" s="10">
        <v>30</v>
      </c>
      <c r="F31" s="10">
        <v>45</v>
      </c>
      <c r="H31" s="10">
        <f t="shared" si="0"/>
        <v>90</v>
      </c>
      <c r="J31" s="10">
        <v>28</v>
      </c>
      <c r="K31" s="38">
        <v>15</v>
      </c>
      <c r="M31" s="38">
        <v>240</v>
      </c>
      <c r="N31" s="10">
        <v>1</v>
      </c>
      <c r="P31" s="10">
        <f>M31*N31/K31</f>
        <v>16</v>
      </c>
    </row>
    <row r="32" spans="1:38">
      <c r="A32" s="10">
        <v>29</v>
      </c>
      <c r="B32" s="10">
        <v>2</v>
      </c>
      <c r="C32" s="10">
        <v>4</v>
      </c>
      <c r="D32" s="10">
        <v>10</v>
      </c>
      <c r="E32" s="10">
        <v>20</v>
      </c>
      <c r="F32" s="10">
        <v>25</v>
      </c>
      <c r="G32" s="10">
        <v>30</v>
      </c>
      <c r="H32" s="10">
        <f t="shared" si="0"/>
        <v>300</v>
      </c>
    </row>
    <row r="33" spans="1:8">
      <c r="A33" s="10">
        <v>30</v>
      </c>
      <c r="B33" s="10">
        <v>7</v>
      </c>
      <c r="C33" s="10">
        <v>14</v>
      </c>
      <c r="D33" s="10">
        <v>21</v>
      </c>
      <c r="E33" s="10">
        <v>35</v>
      </c>
      <c r="F33" s="10">
        <v>70</v>
      </c>
      <c r="H33" s="10">
        <f t="shared" si="0"/>
        <v>210</v>
      </c>
    </row>
  </sheetData>
  <mergeCells count="4">
    <mergeCell ref="A2:H2"/>
    <mergeCell ref="J2:P2"/>
    <mergeCell ref="R2:X2"/>
    <mergeCell ref="Z2:AL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AM34"/>
  <sheetViews>
    <sheetView workbookViewId="0"/>
  </sheetViews>
  <sheetFormatPr baseColWidth="10" defaultRowHeight="15"/>
  <cols>
    <col min="1" max="1" width="10.83203125" style="10"/>
    <col min="2" max="2" width="12.83203125" style="10" customWidth="1"/>
    <col min="3" max="3" width="13.83203125" style="10" customWidth="1"/>
    <col min="4" max="6" width="10.83203125" style="10"/>
    <col min="7" max="7" width="13.33203125" style="10" customWidth="1"/>
    <col min="8" max="8" width="14.1640625" style="10" customWidth="1"/>
    <col min="9" max="9" width="20.1640625" style="10" customWidth="1"/>
    <col min="10" max="11" width="10.83203125" style="10"/>
    <col min="12" max="12" width="13.83203125" style="10" customWidth="1"/>
    <col min="13" max="13" width="16.6640625" style="10" customWidth="1"/>
    <col min="14" max="14" width="12" style="10" customWidth="1"/>
    <col min="15" max="16" width="10.83203125" style="10"/>
    <col min="17" max="17" width="11.1640625" style="10" customWidth="1"/>
    <col min="18" max="18" width="14" style="10" customWidth="1"/>
    <col min="19" max="19" width="10.83203125" style="10"/>
    <col min="20" max="20" width="13.33203125" style="10" customWidth="1"/>
    <col min="21" max="23" width="10.83203125" style="10"/>
    <col min="24" max="24" width="13.5" style="10" customWidth="1"/>
    <col min="25" max="26" width="10.83203125" style="10"/>
    <col min="27" max="27" width="14.1640625" style="10" customWidth="1"/>
    <col min="28" max="28" width="10.83203125" style="10"/>
    <col min="29" max="29" width="11.5" style="10" customWidth="1"/>
    <col min="30" max="31" width="10" style="10" customWidth="1"/>
    <col min="32" max="33" width="10.1640625" style="10" customWidth="1"/>
    <col min="34" max="34" width="8.5" style="10" customWidth="1"/>
    <col min="35" max="35" width="10" style="10" customWidth="1"/>
    <col min="36" max="36" width="10.83203125" style="10"/>
    <col min="37" max="38" width="13" style="10" customWidth="1"/>
    <col min="39" max="40" width="15.1640625" style="10" customWidth="1"/>
    <col min="41" max="16384" width="10.83203125" style="10"/>
  </cols>
  <sheetData>
    <row r="1" spans="1:39" ht="100" customHeight="1"/>
    <row r="2" spans="1:39">
      <c r="B2" s="11" t="s">
        <v>301</v>
      </c>
      <c r="C2" s="11"/>
      <c r="D2" s="11"/>
      <c r="F2" s="11" t="s">
        <v>289</v>
      </c>
      <c r="G2" s="11"/>
      <c r="H2" s="11"/>
      <c r="I2" s="11"/>
      <c r="K2" s="11" t="s">
        <v>299</v>
      </c>
      <c r="L2" s="11"/>
      <c r="M2" s="11"/>
      <c r="N2" s="11"/>
      <c r="P2" s="11" t="s">
        <v>320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D2" s="11" t="s">
        <v>320</v>
      </c>
      <c r="AE2" s="11"/>
      <c r="AF2" s="11"/>
      <c r="AG2" s="11"/>
    </row>
    <row r="3" spans="1:39" ht="48">
      <c r="A3" s="10" t="s">
        <v>4</v>
      </c>
      <c r="B3" s="87" t="s">
        <v>303</v>
      </c>
      <c r="C3" s="87" t="s">
        <v>304</v>
      </c>
      <c r="D3" s="88" t="s">
        <v>196</v>
      </c>
      <c r="F3" s="87" t="s">
        <v>83</v>
      </c>
      <c r="G3" s="87" t="s">
        <v>85</v>
      </c>
      <c r="H3" s="87" t="s">
        <v>86</v>
      </c>
      <c r="I3" s="88" t="s">
        <v>291</v>
      </c>
      <c r="K3" s="89" t="s">
        <v>85</v>
      </c>
      <c r="L3" s="87" t="s">
        <v>86</v>
      </c>
      <c r="M3" s="31" t="s">
        <v>298</v>
      </c>
      <c r="N3" s="31" t="s">
        <v>300</v>
      </c>
      <c r="P3" s="89" t="s">
        <v>4</v>
      </c>
      <c r="Q3" s="13" t="s">
        <v>323</v>
      </c>
      <c r="R3" s="13" t="s">
        <v>324</v>
      </c>
      <c r="S3" s="13" t="s">
        <v>325</v>
      </c>
      <c r="T3" s="31" t="s">
        <v>326</v>
      </c>
      <c r="U3" s="56" t="s">
        <v>327</v>
      </c>
      <c r="V3" s="56"/>
      <c r="W3" s="56"/>
      <c r="X3" s="56"/>
      <c r="Y3" s="31" t="s">
        <v>321</v>
      </c>
      <c r="Z3" s="31" t="s">
        <v>322</v>
      </c>
      <c r="AA3" s="13" t="s">
        <v>334</v>
      </c>
      <c r="AC3" s="89" t="s">
        <v>4</v>
      </c>
      <c r="AD3" s="13" t="s">
        <v>323</v>
      </c>
      <c r="AE3" s="13" t="s">
        <v>324</v>
      </c>
      <c r="AF3" s="13" t="s">
        <v>325</v>
      </c>
      <c r="AG3" s="31" t="s">
        <v>326</v>
      </c>
      <c r="AH3" s="56" t="s">
        <v>327</v>
      </c>
      <c r="AI3" s="56"/>
      <c r="AJ3" s="56"/>
      <c r="AK3" s="56"/>
      <c r="AL3" s="90" t="s">
        <v>334</v>
      </c>
      <c r="AM3" s="90"/>
    </row>
    <row r="4" spans="1:39">
      <c r="A4" s="10" t="s">
        <v>302</v>
      </c>
      <c r="B4" s="55">
        <v>0.33333333333333331</v>
      </c>
      <c r="C4" s="10">
        <v>1</v>
      </c>
      <c r="D4" s="40">
        <f>C4/B4</f>
        <v>3</v>
      </c>
      <c r="F4" s="10">
        <v>1</v>
      </c>
      <c r="G4" s="10">
        <v>8</v>
      </c>
      <c r="H4" s="10">
        <v>11</v>
      </c>
      <c r="I4" s="19">
        <f>1-G4/H4</f>
        <v>0.27272727272727271</v>
      </c>
      <c r="K4" s="10">
        <v>7</v>
      </c>
      <c r="L4" s="10">
        <v>8</v>
      </c>
      <c r="M4" s="36" t="str">
        <f>Quebrado(0,K4-6,L4)</f>
        <v>1/8</v>
      </c>
      <c r="N4" s="36" t="str">
        <f>Quebrado(0,6,L4)</f>
        <v>6/8</v>
      </c>
      <c r="P4" s="37">
        <v>1</v>
      </c>
      <c r="Q4" s="20">
        <v>0.7</v>
      </c>
      <c r="R4" s="20">
        <v>0.4375</v>
      </c>
      <c r="S4" s="20">
        <v>0.36842105263157893</v>
      </c>
      <c r="T4" s="20">
        <v>0.30434782608695654</v>
      </c>
      <c r="U4" s="20">
        <v>0.30434782608695654</v>
      </c>
      <c r="V4" s="20">
        <v>0.36842105263157893</v>
      </c>
      <c r="W4" s="20">
        <v>0.4375</v>
      </c>
      <c r="X4" s="20">
        <v>0.7</v>
      </c>
      <c r="Y4" s="20"/>
      <c r="Z4" s="20"/>
      <c r="AA4" s="13"/>
      <c r="AC4" s="36" t="s">
        <v>339</v>
      </c>
      <c r="AD4" s="19">
        <v>0.72727272727272729</v>
      </c>
      <c r="AE4" s="19">
        <f>(8*2)/11</f>
        <v>1.4545454545454546</v>
      </c>
      <c r="AF4" s="19"/>
      <c r="AG4" s="19"/>
      <c r="AH4" s="19">
        <v>0.72727272727272729</v>
      </c>
      <c r="AI4" s="19">
        <f>(8*2)/11</f>
        <v>1.4545454545454546</v>
      </c>
      <c r="AJ4" s="19"/>
      <c r="AK4" s="19"/>
      <c r="AL4" s="36" t="s">
        <v>337</v>
      </c>
      <c r="AM4" s="36"/>
    </row>
    <row r="5" spans="1:39">
      <c r="A5" s="10" t="s">
        <v>305</v>
      </c>
      <c r="B5" s="55">
        <v>0.33333333333333331</v>
      </c>
      <c r="C5" s="10">
        <v>2</v>
      </c>
      <c r="D5" s="40">
        <f t="shared" ref="D5:D19" si="0">C5/B5</f>
        <v>6</v>
      </c>
      <c r="F5" s="10">
        <v>2</v>
      </c>
      <c r="G5" s="10">
        <v>14</v>
      </c>
      <c r="H5" s="10">
        <v>25</v>
      </c>
      <c r="I5" s="19">
        <f>1-G5/H5</f>
        <v>0.43999999999999995</v>
      </c>
      <c r="K5" s="10">
        <v>10</v>
      </c>
      <c r="L5" s="10">
        <v>9</v>
      </c>
      <c r="M5" s="36" t="str">
        <f>Quebrado(0,K5-6,L5)</f>
        <v>4/9</v>
      </c>
      <c r="N5" s="36" t="str">
        <f>Quebrado(0,6,L5)</f>
        <v>6/9</v>
      </c>
      <c r="P5" s="37">
        <v>2</v>
      </c>
      <c r="Q5" s="20">
        <v>0.83333333333333337</v>
      </c>
      <c r="R5" s="20">
        <v>1.8333333333333333</v>
      </c>
      <c r="S5" s="20">
        <v>0.8125</v>
      </c>
      <c r="T5" s="20">
        <v>3.1666666666666665</v>
      </c>
      <c r="U5" s="20">
        <v>0.8125</v>
      </c>
      <c r="V5" s="20">
        <v>0.83333333333333337</v>
      </c>
      <c r="W5" s="20">
        <v>1.8333333333333333</v>
      </c>
      <c r="X5" s="20">
        <v>3.1666666666666665</v>
      </c>
      <c r="Y5" s="20"/>
      <c r="Z5" s="20"/>
      <c r="AA5" s="13"/>
      <c r="AC5" s="36" t="s">
        <v>340</v>
      </c>
      <c r="AD5" s="19">
        <v>0.72727272727272729</v>
      </c>
      <c r="AE5" s="19">
        <f>(8/4)/11</f>
        <v>0.18181818181818182</v>
      </c>
      <c r="AF5" s="19"/>
      <c r="AG5" s="19"/>
      <c r="AH5" s="19">
        <f>(8/4)/11</f>
        <v>0.18181818181818182</v>
      </c>
      <c r="AI5" s="19">
        <v>0.72727272727272729</v>
      </c>
      <c r="AJ5" s="19"/>
      <c r="AK5" s="19"/>
      <c r="AL5" s="36" t="s">
        <v>338</v>
      </c>
      <c r="AM5" s="36"/>
    </row>
    <row r="6" spans="1:39">
      <c r="A6" s="10" t="s">
        <v>306</v>
      </c>
      <c r="B6" s="55">
        <v>0.33333333333333331</v>
      </c>
      <c r="C6" s="10">
        <v>3</v>
      </c>
      <c r="D6" s="40">
        <f t="shared" si="0"/>
        <v>9</v>
      </c>
      <c r="F6" s="10">
        <v>3</v>
      </c>
      <c r="G6" s="10">
        <v>18</v>
      </c>
      <c r="H6" s="10">
        <v>19</v>
      </c>
      <c r="I6" s="19">
        <f>1-G6/H6</f>
        <v>5.2631578947368474E-2</v>
      </c>
      <c r="K6" s="10">
        <v>17</v>
      </c>
      <c r="L6" s="10">
        <v>35</v>
      </c>
      <c r="M6" s="36" t="str">
        <f>Quebrado(0,K6-6,L6)</f>
        <v>11/35</v>
      </c>
      <c r="N6" s="36" t="str">
        <f>Quebrado(0,6,L6)</f>
        <v>6/35</v>
      </c>
      <c r="P6" s="37" t="s">
        <v>307</v>
      </c>
      <c r="Q6" s="20">
        <v>0.6</v>
      </c>
      <c r="R6" s="20"/>
      <c r="S6" s="20"/>
      <c r="T6" s="20"/>
      <c r="U6" s="20"/>
      <c r="V6" s="20"/>
      <c r="W6" s="20"/>
      <c r="X6" s="20"/>
      <c r="Y6" s="20">
        <f>1-Q6</f>
        <v>0.4</v>
      </c>
      <c r="Z6" s="20"/>
      <c r="AA6" s="13"/>
      <c r="AC6" s="36" t="s">
        <v>302</v>
      </c>
      <c r="AD6" s="19">
        <v>0.84210526315789469</v>
      </c>
      <c r="AE6" s="19">
        <v>1.6842105263157894</v>
      </c>
      <c r="AF6" s="19"/>
      <c r="AG6" s="19"/>
      <c r="AH6" s="19">
        <v>0.84210526315789469</v>
      </c>
      <c r="AI6" s="19">
        <v>1.6842105263157894</v>
      </c>
      <c r="AJ6" s="19"/>
      <c r="AK6" s="19"/>
      <c r="AL6" s="36" t="s">
        <v>337</v>
      </c>
      <c r="AM6" s="36"/>
    </row>
    <row r="7" spans="1:39">
      <c r="A7" s="10" t="s">
        <v>307</v>
      </c>
      <c r="B7" s="55">
        <v>0.1111111111111111</v>
      </c>
      <c r="C7" s="10">
        <v>1</v>
      </c>
      <c r="D7" s="40">
        <f t="shared" si="0"/>
        <v>9</v>
      </c>
      <c r="F7" s="10">
        <v>4</v>
      </c>
      <c r="G7" s="10">
        <v>106</v>
      </c>
      <c r="H7" s="10">
        <v>231</v>
      </c>
      <c r="I7" s="19">
        <f>1-G7/H7</f>
        <v>0.54112554112554112</v>
      </c>
      <c r="P7" s="37" t="s">
        <v>308</v>
      </c>
      <c r="Q7" s="20">
        <v>0.7142857142857143</v>
      </c>
      <c r="R7" s="20"/>
      <c r="S7" s="20"/>
      <c r="T7" s="20"/>
      <c r="U7" s="20"/>
      <c r="V7" s="20"/>
      <c r="W7" s="20"/>
      <c r="X7" s="20"/>
      <c r="Y7" s="20">
        <f>1-Q7</f>
        <v>0.2857142857142857</v>
      </c>
      <c r="Z7" s="20"/>
      <c r="AA7" s="13"/>
      <c r="AC7" s="36" t="s">
        <v>305</v>
      </c>
      <c r="AD7" s="19">
        <v>0.84210526315789469</v>
      </c>
      <c r="AE7" s="19">
        <v>0.10526315789473684</v>
      </c>
      <c r="AF7" s="19"/>
      <c r="AG7" s="19"/>
      <c r="AH7" s="19">
        <v>0.10526315789473684</v>
      </c>
      <c r="AI7" s="19">
        <v>0.84210526315789469</v>
      </c>
      <c r="AJ7" s="19"/>
      <c r="AK7" s="19"/>
      <c r="AL7" s="36" t="s">
        <v>338</v>
      </c>
      <c r="AM7" s="36"/>
    </row>
    <row r="8" spans="1:39">
      <c r="A8" s="10" t="s">
        <v>308</v>
      </c>
      <c r="B8" s="55">
        <v>0.1111111111111111</v>
      </c>
      <c r="C8" s="10">
        <v>4</v>
      </c>
      <c r="D8" s="40">
        <f t="shared" si="0"/>
        <v>36</v>
      </c>
      <c r="F8" s="10">
        <v>5</v>
      </c>
      <c r="G8" s="10">
        <v>245</v>
      </c>
      <c r="H8" s="10">
        <v>897</v>
      </c>
      <c r="I8" s="19">
        <f>1-G8/H8</f>
        <v>0.72686733556298777</v>
      </c>
      <c r="P8" s="37" t="s">
        <v>309</v>
      </c>
      <c r="Q8" s="20">
        <v>0.6</v>
      </c>
      <c r="R8" s="20">
        <v>0.7142857142857143</v>
      </c>
      <c r="S8" s="20"/>
      <c r="T8" s="20"/>
      <c r="U8" s="20">
        <v>0.6</v>
      </c>
      <c r="V8" s="20">
        <v>0.7142857142857143</v>
      </c>
      <c r="W8" s="20"/>
      <c r="X8" s="20"/>
      <c r="Y8" s="20"/>
      <c r="Z8" s="20"/>
      <c r="AA8" s="13"/>
      <c r="AC8" s="36">
        <v>3</v>
      </c>
      <c r="AD8" s="19">
        <v>0.64516129032258063</v>
      </c>
      <c r="AE8" s="19">
        <v>0.12903225806451613</v>
      </c>
      <c r="AF8" s="19"/>
      <c r="AG8" s="19"/>
      <c r="AH8" s="19">
        <v>0.12903225806451613</v>
      </c>
      <c r="AI8" s="19">
        <v>0.64516129032258063</v>
      </c>
      <c r="AJ8" s="19"/>
      <c r="AK8" s="19"/>
      <c r="AL8" s="20">
        <f>AI8/AH8</f>
        <v>5</v>
      </c>
      <c r="AM8" s="36" t="s">
        <v>341</v>
      </c>
    </row>
    <row r="9" spans="1:39">
      <c r="A9" s="10" t="s">
        <v>309</v>
      </c>
      <c r="B9" s="55">
        <v>0.1111111111111111</v>
      </c>
      <c r="C9" s="10">
        <v>7</v>
      </c>
      <c r="D9" s="40">
        <f t="shared" si="0"/>
        <v>63</v>
      </c>
      <c r="P9" s="37" t="s">
        <v>310</v>
      </c>
      <c r="Q9" s="20">
        <v>1.3333333333333333</v>
      </c>
      <c r="R9" s="20"/>
      <c r="S9" s="20"/>
      <c r="T9" s="20"/>
      <c r="U9" s="20"/>
      <c r="V9" s="20"/>
      <c r="W9" s="20"/>
      <c r="X9" s="20"/>
      <c r="Y9" s="20"/>
      <c r="Z9" s="20">
        <f>Q9 -1</f>
        <v>0.33333333333333326</v>
      </c>
      <c r="AA9" s="13"/>
      <c r="AC9" s="36" t="s">
        <v>310</v>
      </c>
      <c r="AD9" s="19">
        <v>0.83333333333333337</v>
      </c>
      <c r="AE9" s="19">
        <f>5/(6*3)</f>
        <v>0.27777777777777779</v>
      </c>
      <c r="AG9" s="19"/>
      <c r="AH9" s="19">
        <f>5/(6*3)</f>
        <v>0.27777777777777779</v>
      </c>
      <c r="AI9" s="19">
        <v>0.83333333333333337</v>
      </c>
      <c r="AJ9" s="19"/>
      <c r="AK9" s="19"/>
      <c r="AL9" s="36" t="s">
        <v>338</v>
      </c>
      <c r="AM9" s="36"/>
    </row>
    <row r="10" spans="1:39">
      <c r="A10" s="10" t="s">
        <v>310</v>
      </c>
      <c r="B10" s="82">
        <v>7.6923076923076927E-2</v>
      </c>
      <c r="C10" s="10">
        <v>2</v>
      </c>
      <c r="D10" s="40">
        <f t="shared" si="0"/>
        <v>26</v>
      </c>
      <c r="P10" s="37" t="s">
        <v>311</v>
      </c>
      <c r="Q10" s="20">
        <v>1.2142857142857142</v>
      </c>
      <c r="R10" s="20"/>
      <c r="S10" s="20"/>
      <c r="T10" s="20"/>
      <c r="U10" s="20"/>
      <c r="V10" s="20"/>
      <c r="W10" s="20"/>
      <c r="X10" s="20"/>
      <c r="Y10" s="20"/>
      <c r="Z10" s="20">
        <f>Q10 -1</f>
        <v>0.21428571428571419</v>
      </c>
      <c r="AA10" s="13"/>
      <c r="AC10" s="36" t="s">
        <v>311</v>
      </c>
      <c r="AD10" s="19">
        <v>0.83333333333333337</v>
      </c>
      <c r="AE10" s="19">
        <f>5/(6/2)</f>
        <v>1.6666666666666667</v>
      </c>
      <c r="AF10" s="19"/>
      <c r="AG10" s="19"/>
      <c r="AH10" s="19">
        <v>0.83333333333333337</v>
      </c>
      <c r="AI10" s="19">
        <f>5/(6/2)</f>
        <v>1.6666666666666667</v>
      </c>
      <c r="AJ10" s="19"/>
      <c r="AK10" s="19"/>
      <c r="AL10" s="36" t="s">
        <v>337</v>
      </c>
      <c r="AM10" s="36"/>
    </row>
    <row r="11" spans="1:39">
      <c r="A11" s="10" t="s">
        <v>311</v>
      </c>
      <c r="B11" s="82">
        <v>7.6923076923076927E-2</v>
      </c>
      <c r="C11" s="10">
        <v>5</v>
      </c>
      <c r="D11" s="40">
        <f t="shared" si="0"/>
        <v>65</v>
      </c>
      <c r="F11" s="11" t="s">
        <v>290</v>
      </c>
      <c r="G11" s="11"/>
      <c r="H11" s="11"/>
      <c r="I11" s="11"/>
      <c r="P11" s="37">
        <v>5</v>
      </c>
      <c r="Q11" s="20">
        <v>0.6</v>
      </c>
      <c r="R11" s="20">
        <v>0.84615384615384615</v>
      </c>
      <c r="S11" s="20">
        <v>0.7142857142857143</v>
      </c>
      <c r="T11" s="20"/>
      <c r="U11" s="20">
        <v>0.6</v>
      </c>
      <c r="V11" s="20">
        <v>0.7142857142857143</v>
      </c>
      <c r="W11" s="20">
        <v>0.84615384615384615</v>
      </c>
      <c r="X11" s="20"/>
      <c r="Y11" s="20"/>
      <c r="Z11" s="20"/>
      <c r="AA11" s="13"/>
      <c r="AC11" s="36" t="s">
        <v>312</v>
      </c>
      <c r="AD11" s="19">
        <v>0.875</v>
      </c>
      <c r="AE11" s="19">
        <v>3.5</v>
      </c>
      <c r="AF11" s="19"/>
      <c r="AG11" s="19"/>
      <c r="AH11" s="19">
        <v>0.875</v>
      </c>
      <c r="AI11" s="19">
        <v>3.5</v>
      </c>
      <c r="AJ11" s="19"/>
      <c r="AK11" s="19"/>
      <c r="AL11" s="36" t="s">
        <v>337</v>
      </c>
      <c r="AM11" s="36"/>
    </row>
    <row r="12" spans="1:39" ht="32">
      <c r="A12" s="10" t="s">
        <v>312</v>
      </c>
      <c r="B12" s="55">
        <v>0.5</v>
      </c>
      <c r="C12" s="55">
        <v>0.5</v>
      </c>
      <c r="D12" s="40">
        <f t="shared" si="0"/>
        <v>1</v>
      </c>
      <c r="F12" s="87" t="s">
        <v>83</v>
      </c>
      <c r="G12" s="87" t="s">
        <v>85</v>
      </c>
      <c r="H12" s="87" t="s">
        <v>86</v>
      </c>
      <c r="I12" s="88" t="s">
        <v>292</v>
      </c>
      <c r="P12" s="37">
        <v>6</v>
      </c>
      <c r="Q12" s="20">
        <v>1.2352941176470589</v>
      </c>
      <c r="R12" s="20">
        <v>1.8</v>
      </c>
      <c r="S12" s="20">
        <v>2.3333333333333335</v>
      </c>
      <c r="T12" s="20"/>
      <c r="U12" s="20">
        <v>1.2352941176470589</v>
      </c>
      <c r="V12" s="20">
        <v>1.8</v>
      </c>
      <c r="W12" s="20">
        <v>2.3333333333333335</v>
      </c>
      <c r="X12" s="20"/>
      <c r="Y12" s="20"/>
      <c r="Z12" s="20"/>
      <c r="AA12" s="13" t="s">
        <v>335</v>
      </c>
      <c r="AC12" s="36" t="s">
        <v>313</v>
      </c>
      <c r="AD12" s="19">
        <v>0.875</v>
      </c>
      <c r="AE12" s="19">
        <v>0.29166666666666669</v>
      </c>
      <c r="AF12" s="19"/>
      <c r="AG12" s="19"/>
      <c r="AH12" s="19">
        <v>0.29166666666666669</v>
      </c>
      <c r="AI12" s="19">
        <v>0.875</v>
      </c>
      <c r="AJ12" s="19"/>
      <c r="AK12" s="19"/>
      <c r="AL12" s="36" t="s">
        <v>338</v>
      </c>
      <c r="AM12" s="36"/>
    </row>
    <row r="13" spans="1:39" ht="16">
      <c r="A13" s="10" t="s">
        <v>313</v>
      </c>
      <c r="B13" s="55">
        <v>0.33333333333333331</v>
      </c>
      <c r="C13" s="55">
        <v>0.33333333333333331</v>
      </c>
      <c r="D13" s="40">
        <f t="shared" si="0"/>
        <v>1</v>
      </c>
      <c r="F13" s="10">
        <v>1</v>
      </c>
      <c r="G13" s="10">
        <v>9</v>
      </c>
      <c r="H13" s="10">
        <v>7</v>
      </c>
      <c r="I13" s="20" t="str">
        <f t="shared" ref="I13:I18" si="1">Quebrado(0,G13-H13,H13)</f>
        <v>2/7</v>
      </c>
      <c r="P13" s="37" t="s">
        <v>318</v>
      </c>
      <c r="Q13" s="20">
        <v>0.61538461538461542</v>
      </c>
      <c r="R13" s="20">
        <f>(8+5)/(13+5)</f>
        <v>0.72222222222222221</v>
      </c>
      <c r="S13" s="20"/>
      <c r="T13" s="20"/>
      <c r="U13" s="20">
        <v>0.61538461538461542</v>
      </c>
      <c r="V13" s="20">
        <f>(8+5)/(13+5)</f>
        <v>0.72222222222222221</v>
      </c>
      <c r="W13" s="20"/>
      <c r="X13" s="20"/>
      <c r="Y13" s="20"/>
      <c r="Z13" s="20"/>
      <c r="AA13" s="13" t="s">
        <v>337</v>
      </c>
      <c r="AC13" s="36">
        <v>6</v>
      </c>
      <c r="AD13" s="19">
        <v>0.13725490196078433</v>
      </c>
      <c r="AE13" s="19">
        <v>0.41176470588235292</v>
      </c>
      <c r="AF13" s="19"/>
      <c r="AG13" s="19"/>
      <c r="AH13" s="19">
        <v>0.13725490196078433</v>
      </c>
      <c r="AI13" s="19">
        <v>0.41176470588235292</v>
      </c>
      <c r="AJ13" s="19"/>
      <c r="AK13" s="19"/>
      <c r="AL13" s="20">
        <f>AD13/AE13</f>
        <v>0.33333333333333337</v>
      </c>
      <c r="AM13" s="36" t="s">
        <v>342</v>
      </c>
    </row>
    <row r="14" spans="1:39" ht="16">
      <c r="A14" s="10" t="s">
        <v>314</v>
      </c>
      <c r="B14" s="55">
        <v>0.125</v>
      </c>
      <c r="C14" s="55">
        <v>0.125</v>
      </c>
      <c r="D14" s="40">
        <f t="shared" si="0"/>
        <v>1</v>
      </c>
      <c r="F14" s="10">
        <v>2</v>
      </c>
      <c r="G14" s="10">
        <v>15</v>
      </c>
      <c r="H14" s="10">
        <v>11</v>
      </c>
      <c r="I14" s="20" t="str">
        <f t="shared" si="1"/>
        <v>4/11</v>
      </c>
      <c r="P14" s="37" t="s">
        <v>319</v>
      </c>
      <c r="Q14" s="20">
        <v>0.61538461538461542</v>
      </c>
      <c r="R14" s="20">
        <f>(8-3)/(13-3)</f>
        <v>0.5</v>
      </c>
      <c r="S14" s="20"/>
      <c r="T14" s="20"/>
      <c r="U14" s="20">
        <f>(8-3)/(13-3)</f>
        <v>0.5</v>
      </c>
      <c r="V14" s="20">
        <v>0.61538461538461542</v>
      </c>
      <c r="W14" s="20"/>
      <c r="X14" s="20"/>
      <c r="Y14" s="20"/>
      <c r="Z14" s="20"/>
      <c r="AA14" s="13" t="s">
        <v>338</v>
      </c>
      <c r="AC14" s="36" t="s">
        <v>318</v>
      </c>
      <c r="AD14" s="19">
        <v>0.20952380952380953</v>
      </c>
      <c r="AE14" s="19">
        <v>4.4000000000000004</v>
      </c>
      <c r="AF14" s="19"/>
      <c r="AG14" s="19"/>
      <c r="AH14" s="19">
        <v>0.20952380952380953</v>
      </c>
      <c r="AI14" s="19">
        <v>4.4000000000000004</v>
      </c>
      <c r="AJ14" s="19"/>
      <c r="AK14" s="19"/>
      <c r="AL14" s="36" t="s">
        <v>337</v>
      </c>
      <c r="AM14" s="36"/>
    </row>
    <row r="15" spans="1:39">
      <c r="A15" s="10" t="s">
        <v>315</v>
      </c>
      <c r="B15" s="55">
        <v>0.25</v>
      </c>
      <c r="C15" s="55">
        <v>0.5</v>
      </c>
      <c r="D15" s="40">
        <f t="shared" si="0"/>
        <v>2</v>
      </c>
      <c r="F15" s="10">
        <v>3</v>
      </c>
      <c r="G15" s="10">
        <v>23</v>
      </c>
      <c r="H15" s="10">
        <v>14</v>
      </c>
      <c r="I15" s="20" t="str">
        <f t="shared" si="1"/>
        <v>9/14</v>
      </c>
      <c r="P15" s="36" t="s">
        <v>328</v>
      </c>
      <c r="Q15" s="20">
        <v>0.73333333333333328</v>
      </c>
      <c r="R15" s="20">
        <v>0.63636363636363635</v>
      </c>
      <c r="S15" s="20"/>
      <c r="T15" s="20"/>
      <c r="U15" s="20">
        <v>0.63636363636363635</v>
      </c>
      <c r="V15" s="20">
        <v>0.73333333333333328</v>
      </c>
      <c r="W15" s="20"/>
      <c r="X15" s="20"/>
      <c r="Y15" s="20"/>
      <c r="Z15" s="20"/>
      <c r="AA15" s="13"/>
      <c r="AC15" s="36" t="s">
        <v>319</v>
      </c>
      <c r="AD15" s="19">
        <v>0.20952380952380953</v>
      </c>
      <c r="AE15" s="19">
        <v>0.62857142857142856</v>
      </c>
      <c r="AF15" s="19"/>
      <c r="AG15" s="19"/>
      <c r="AH15" s="19">
        <v>0.20952380952380953</v>
      </c>
      <c r="AI15" s="19">
        <v>0.62857142857142856</v>
      </c>
      <c r="AJ15" s="19"/>
      <c r="AK15" s="19"/>
      <c r="AL15" s="36" t="s">
        <v>337</v>
      </c>
      <c r="AM15" s="36"/>
    </row>
    <row r="16" spans="1:39">
      <c r="A16" s="10" t="s">
        <v>316</v>
      </c>
      <c r="B16" s="55">
        <v>0.16666666666666666</v>
      </c>
      <c r="C16" s="55">
        <v>0.5</v>
      </c>
      <c r="D16" s="40">
        <f t="shared" si="0"/>
        <v>3</v>
      </c>
      <c r="F16" s="10">
        <v>4</v>
      </c>
      <c r="G16" s="10">
        <v>89</v>
      </c>
      <c r="H16" s="10">
        <v>7</v>
      </c>
      <c r="I16" s="20" t="str">
        <f t="shared" si="1"/>
        <v>82/7</v>
      </c>
      <c r="P16" s="36" t="s">
        <v>329</v>
      </c>
      <c r="Q16" s="20">
        <v>0.77777777777777779</v>
      </c>
      <c r="R16" s="20">
        <v>0.84615384615384615</v>
      </c>
      <c r="S16" s="20"/>
      <c r="T16" s="20"/>
      <c r="U16" s="20">
        <v>0.77777777777777779</v>
      </c>
      <c r="V16" s="20">
        <v>0.84615384615384615</v>
      </c>
      <c r="W16" s="20"/>
      <c r="X16" s="20"/>
      <c r="Y16" s="20"/>
      <c r="Z16" s="20"/>
      <c r="AA16" s="13"/>
      <c r="AC16" s="36" t="s">
        <v>328</v>
      </c>
      <c r="AD16" s="51" t="s">
        <v>344</v>
      </c>
      <c r="AE16" s="37" t="str">
        <f>Quebrado(0,14*3,28*3)</f>
        <v>42/84</v>
      </c>
      <c r="AF16" s="19"/>
      <c r="AG16" s="19"/>
      <c r="AH16" s="19"/>
      <c r="AI16" s="19"/>
      <c r="AJ16" s="19"/>
      <c r="AK16" s="19"/>
      <c r="AL16" s="36" t="s">
        <v>343</v>
      </c>
      <c r="AM16" s="36" t="s">
        <v>345</v>
      </c>
    </row>
    <row r="17" spans="1:39">
      <c r="A17" s="10" t="s">
        <v>317</v>
      </c>
      <c r="B17" s="82">
        <v>0.1</v>
      </c>
      <c r="C17" s="55">
        <v>0.5</v>
      </c>
      <c r="D17" s="40">
        <f t="shared" si="0"/>
        <v>5</v>
      </c>
      <c r="F17" s="10">
        <v>5</v>
      </c>
      <c r="G17" s="10">
        <v>314</v>
      </c>
      <c r="H17" s="10">
        <v>237</v>
      </c>
      <c r="I17" s="20" t="str">
        <f t="shared" si="1"/>
        <v>77/237</v>
      </c>
      <c r="P17" s="36" t="s">
        <v>330</v>
      </c>
      <c r="Q17" s="20">
        <v>1.4545454545454546</v>
      </c>
      <c r="R17" s="20">
        <f>(16+6)/(11+6)</f>
        <v>1.2941176470588236</v>
      </c>
      <c r="S17" s="20"/>
      <c r="T17" s="20"/>
      <c r="U17" s="20">
        <f>(16+6)/(11+6)</f>
        <v>1.2941176470588236</v>
      </c>
      <c r="V17" s="20">
        <v>1.4545454545454546</v>
      </c>
      <c r="W17" s="20"/>
      <c r="X17" s="20"/>
      <c r="Y17" s="20"/>
      <c r="Z17" s="20"/>
      <c r="AA17" s="13"/>
      <c r="AC17" s="36" t="s">
        <v>329</v>
      </c>
      <c r="AD17" s="51" t="s">
        <v>344</v>
      </c>
      <c r="AE17" s="37" t="str">
        <f>Quebrado(0,14/2,28/2)</f>
        <v>7/14</v>
      </c>
      <c r="AF17" s="19"/>
      <c r="AG17" s="19"/>
      <c r="AH17" s="19"/>
      <c r="AI17" s="19"/>
      <c r="AJ17" s="19"/>
      <c r="AK17" s="19"/>
      <c r="AL17" s="36" t="s">
        <v>343</v>
      </c>
      <c r="AM17" s="36" t="s">
        <v>345</v>
      </c>
    </row>
    <row r="18" spans="1:39">
      <c r="A18" s="10" t="s">
        <v>318</v>
      </c>
      <c r="B18" s="55">
        <v>0.25</v>
      </c>
      <c r="C18" s="55">
        <v>2.5</v>
      </c>
      <c r="D18" s="40">
        <f t="shared" si="0"/>
        <v>10</v>
      </c>
      <c r="F18" s="10">
        <v>6</v>
      </c>
      <c r="G18" s="10">
        <v>1089</v>
      </c>
      <c r="H18" s="10">
        <v>1000</v>
      </c>
      <c r="I18" s="20" t="str">
        <f t="shared" si="1"/>
        <v>89/1000</v>
      </c>
      <c r="P18" s="36" t="s">
        <v>331</v>
      </c>
      <c r="Q18" s="20">
        <v>1.4545454545454546</v>
      </c>
      <c r="R18" s="20">
        <f>(16-5)/(11-5)</f>
        <v>1.8333333333333333</v>
      </c>
      <c r="S18" s="20"/>
      <c r="T18" s="20"/>
      <c r="U18" s="20">
        <v>1.4545454545454546</v>
      </c>
      <c r="V18" s="20">
        <f>(16-5)/(11-5)</f>
        <v>1.8333333333333333</v>
      </c>
      <c r="W18" s="20"/>
      <c r="X18" s="20"/>
      <c r="Y18" s="20"/>
      <c r="Z18" s="20"/>
      <c r="AA18" s="13"/>
      <c r="AC18" s="36">
        <v>9</v>
      </c>
      <c r="AD18" s="20" t="str">
        <f>Quebrado(0,9,15)</f>
        <v>9/15</v>
      </c>
      <c r="AE18" s="20">
        <v>0.6</v>
      </c>
      <c r="AF18" s="19"/>
      <c r="AG18" s="19"/>
      <c r="AH18" s="19"/>
      <c r="AI18" s="19"/>
      <c r="AJ18" s="19"/>
      <c r="AK18" s="19"/>
      <c r="AL18" s="36" t="s">
        <v>343</v>
      </c>
      <c r="AM18" s="36"/>
    </row>
    <row r="19" spans="1:39" ht="16">
      <c r="A19" s="10" t="s">
        <v>319</v>
      </c>
      <c r="B19" s="55">
        <v>0.5</v>
      </c>
      <c r="C19" s="55">
        <v>2.5</v>
      </c>
      <c r="D19" s="40">
        <f t="shared" si="0"/>
        <v>5</v>
      </c>
      <c r="P19" s="36" t="s">
        <v>332</v>
      </c>
      <c r="Q19" s="20">
        <v>1.4166666666666667</v>
      </c>
      <c r="R19" s="20">
        <v>1.5555555555555556</v>
      </c>
      <c r="S19" s="20"/>
      <c r="T19" s="20"/>
      <c r="U19" s="20">
        <v>1.4166666666666667</v>
      </c>
      <c r="V19" s="20">
        <v>1.5555555555555556</v>
      </c>
      <c r="W19" s="20"/>
      <c r="X19" s="20"/>
      <c r="Y19" s="20"/>
      <c r="Z19" s="20"/>
      <c r="AA19" s="13" t="s">
        <v>337</v>
      </c>
      <c r="AC19" s="36">
        <v>10</v>
      </c>
      <c r="AD19" s="51" t="s">
        <v>346</v>
      </c>
      <c r="AE19" s="51" t="s">
        <v>347</v>
      </c>
      <c r="AF19" s="51" t="s">
        <v>348</v>
      </c>
      <c r="AG19" s="19"/>
      <c r="AH19" s="19"/>
      <c r="AI19" s="19"/>
      <c r="AJ19" s="19"/>
      <c r="AK19" s="19"/>
      <c r="AL19" s="36" t="s">
        <v>349</v>
      </c>
      <c r="AM19" s="36" t="s">
        <v>350</v>
      </c>
    </row>
    <row r="20" spans="1:39" ht="16">
      <c r="P20" s="36" t="s">
        <v>333</v>
      </c>
      <c r="Q20" s="20">
        <v>1.2</v>
      </c>
      <c r="R20" s="20">
        <v>1.125</v>
      </c>
      <c r="S20" s="20"/>
      <c r="T20" s="20"/>
      <c r="U20" s="20">
        <v>1.125</v>
      </c>
      <c r="V20" s="20">
        <v>1.2</v>
      </c>
      <c r="W20" s="20"/>
      <c r="X20" s="20"/>
      <c r="Y20" s="20"/>
      <c r="Z20" s="20"/>
      <c r="AA20" s="13" t="s">
        <v>336</v>
      </c>
      <c r="AC20" s="36">
        <v>11</v>
      </c>
      <c r="AD20" s="20">
        <v>0.2</v>
      </c>
      <c r="AE20" s="51" t="s">
        <v>351</v>
      </c>
      <c r="AF20" s="51" t="s">
        <v>352</v>
      </c>
      <c r="AG20" s="51" t="s">
        <v>353</v>
      </c>
      <c r="AH20" s="19"/>
      <c r="AI20" s="19"/>
      <c r="AJ20" s="19"/>
      <c r="AK20" s="19"/>
      <c r="AL20" s="36" t="s">
        <v>349</v>
      </c>
      <c r="AM20" s="36"/>
    </row>
    <row r="21" spans="1:39">
      <c r="P21" s="36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91"/>
      <c r="AD21" s="19"/>
      <c r="AE21" s="19"/>
      <c r="AF21" s="19"/>
      <c r="AG21" s="19"/>
      <c r="AH21" s="19"/>
      <c r="AI21" s="19"/>
      <c r="AJ21" s="19"/>
      <c r="AK21" s="19"/>
    </row>
    <row r="22" spans="1:39">
      <c r="A22" s="11" t="s">
        <v>288</v>
      </c>
      <c r="B22" s="11"/>
      <c r="C22" s="11"/>
      <c r="F22" s="11" t="s">
        <v>293</v>
      </c>
      <c r="G22" s="11"/>
      <c r="H22" s="11"/>
      <c r="I22" s="11"/>
      <c r="P22" s="36"/>
    </row>
    <row r="23" spans="1:39" ht="32">
      <c r="A23" s="87" t="s">
        <v>85</v>
      </c>
      <c r="B23" s="87" t="s">
        <v>86</v>
      </c>
      <c r="C23" s="88" t="s">
        <v>287</v>
      </c>
      <c r="F23" s="87" t="s">
        <v>83</v>
      </c>
      <c r="G23" s="87" t="s">
        <v>86</v>
      </c>
      <c r="H23" s="31" t="s">
        <v>294</v>
      </c>
      <c r="I23" s="31" t="s">
        <v>295</v>
      </c>
    </row>
    <row r="24" spans="1:39">
      <c r="A24" s="10">
        <v>5</v>
      </c>
      <c r="B24" s="10">
        <v>7</v>
      </c>
      <c r="C24" s="36" t="str">
        <f>IF(A24&gt;B24,"Mayor",IF(A24&lt;B24,"Menor","Igual"))</f>
        <v>Menor</v>
      </c>
      <c r="F24" s="10">
        <v>1</v>
      </c>
      <c r="G24" s="10">
        <v>23</v>
      </c>
      <c r="H24" s="82">
        <f>1/G24</f>
        <v>4.3478260869565216E-2</v>
      </c>
      <c r="I24" s="92">
        <f>(G24-1)/G24</f>
        <v>0.95652173913043481</v>
      </c>
    </row>
    <row r="25" spans="1:39">
      <c r="A25" s="10">
        <v>16</v>
      </c>
      <c r="B25" s="10">
        <v>9</v>
      </c>
      <c r="C25" s="36" t="str">
        <f t="shared" ref="C25:C34" si="2">IF(A25&gt;B25,"Mayor",IF(A25&lt;B25,"Menor","Igual"))</f>
        <v>Mayor</v>
      </c>
      <c r="F25" s="10">
        <v>2</v>
      </c>
      <c r="G25" s="10">
        <v>25</v>
      </c>
      <c r="H25" s="82">
        <f>1/G25</f>
        <v>0.04</v>
      </c>
      <c r="I25" s="92">
        <f>(G25-1)/G25</f>
        <v>0.96</v>
      </c>
    </row>
    <row r="26" spans="1:39">
      <c r="A26" s="10">
        <v>15</v>
      </c>
      <c r="B26" s="10">
        <v>15</v>
      </c>
      <c r="C26" s="36" t="str">
        <f t="shared" si="2"/>
        <v>Igual</v>
      </c>
      <c r="F26" s="10">
        <v>3</v>
      </c>
      <c r="G26" s="10">
        <v>32</v>
      </c>
      <c r="H26" s="82">
        <f>1/G26</f>
        <v>3.125E-2</v>
      </c>
      <c r="I26" s="92">
        <f>(G26-1)/G26</f>
        <v>0.96875</v>
      </c>
    </row>
    <row r="27" spans="1:39">
      <c r="A27" s="10">
        <v>31</v>
      </c>
      <c r="B27" s="10">
        <v>96</v>
      </c>
      <c r="C27" s="36" t="str">
        <f t="shared" si="2"/>
        <v>Menor</v>
      </c>
      <c r="F27" s="10">
        <v>4</v>
      </c>
      <c r="G27" s="10">
        <v>89</v>
      </c>
      <c r="H27" s="82">
        <f>1/G27</f>
        <v>1.1235955056179775E-2</v>
      </c>
      <c r="I27" s="92">
        <f>(G27-1)/G27</f>
        <v>0.9887640449438202</v>
      </c>
    </row>
    <row r="28" spans="1:39">
      <c r="A28" s="10">
        <v>114</v>
      </c>
      <c r="B28" s="10">
        <v>113</v>
      </c>
      <c r="C28" s="36" t="str">
        <f t="shared" si="2"/>
        <v>Mayor</v>
      </c>
    </row>
    <row r="29" spans="1:39">
      <c r="A29" s="10">
        <v>19</v>
      </c>
      <c r="B29" s="10">
        <v>14</v>
      </c>
      <c r="C29" s="36" t="str">
        <f t="shared" si="2"/>
        <v>Mayor</v>
      </c>
      <c r="F29" s="11" t="s">
        <v>296</v>
      </c>
      <c r="G29" s="11"/>
      <c r="H29" s="11"/>
      <c r="I29" s="11"/>
    </row>
    <row r="30" spans="1:39" ht="16">
      <c r="A30" s="10">
        <v>103</v>
      </c>
      <c r="B30" s="10">
        <v>103</v>
      </c>
      <c r="C30" s="36" t="str">
        <f t="shared" si="2"/>
        <v>Igual</v>
      </c>
      <c r="F30" s="89" t="s">
        <v>85</v>
      </c>
      <c r="G30" s="87" t="s">
        <v>86</v>
      </c>
      <c r="H30" s="31" t="s">
        <v>298</v>
      </c>
      <c r="I30" s="31" t="s">
        <v>297</v>
      </c>
    </row>
    <row r="31" spans="1:39">
      <c r="A31" s="10">
        <v>1350</v>
      </c>
      <c r="B31" s="10">
        <v>887</v>
      </c>
      <c r="C31" s="36" t="str">
        <f t="shared" si="2"/>
        <v>Mayor</v>
      </c>
      <c r="F31" s="10">
        <v>2</v>
      </c>
      <c r="G31" s="10">
        <v>3</v>
      </c>
      <c r="H31" s="36" t="str">
        <f>Quebrado(0,F31+3,G31)</f>
        <v>5/3</v>
      </c>
      <c r="I31" s="36" t="str">
        <f>Quebrado(0,3,G31)</f>
        <v>3/3</v>
      </c>
    </row>
    <row r="32" spans="1:39">
      <c r="A32" s="10">
        <v>95</v>
      </c>
      <c r="B32" s="10">
        <v>162</v>
      </c>
      <c r="C32" s="36" t="str">
        <f t="shared" si="2"/>
        <v>Menor</v>
      </c>
      <c r="F32" s="10">
        <v>4</v>
      </c>
      <c r="G32" s="10">
        <v>5</v>
      </c>
      <c r="H32" s="36" t="str">
        <f>Quebrado(0,F32+3,G32)</f>
        <v>7/5</v>
      </c>
      <c r="I32" s="36" t="str">
        <f>Quebrado(0,3,G32)</f>
        <v>3/5</v>
      </c>
    </row>
    <row r="33" spans="1:9">
      <c r="A33" s="10">
        <v>162</v>
      </c>
      <c r="B33" s="10">
        <v>95</v>
      </c>
      <c r="C33" s="36" t="str">
        <f t="shared" si="2"/>
        <v>Mayor</v>
      </c>
      <c r="F33" s="10">
        <v>7</v>
      </c>
      <c r="G33" s="10">
        <v>8</v>
      </c>
      <c r="H33" s="36" t="str">
        <f>Quebrado(0,F33+3,G33)</f>
        <v>10/8</v>
      </c>
      <c r="I33" s="36" t="str">
        <f>Quebrado(0,3,G33)</f>
        <v>3/8</v>
      </c>
    </row>
    <row r="34" spans="1:9">
      <c r="A34" s="10">
        <v>95</v>
      </c>
      <c r="B34" s="10">
        <v>95</v>
      </c>
      <c r="C34" s="36" t="str">
        <f t="shared" si="2"/>
        <v>Igual</v>
      </c>
    </row>
  </sheetData>
  <mergeCells count="12">
    <mergeCell ref="B2:D2"/>
    <mergeCell ref="A22:C22"/>
    <mergeCell ref="F2:I2"/>
    <mergeCell ref="F11:I11"/>
    <mergeCell ref="F22:I22"/>
    <mergeCell ref="AL3:AM3"/>
    <mergeCell ref="F29:I29"/>
    <mergeCell ref="U3:X3"/>
    <mergeCell ref="AD2:AG2"/>
    <mergeCell ref="AH3:AK3"/>
    <mergeCell ref="P2:AA2"/>
    <mergeCell ref="K2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Cap_3</vt:lpstr>
      <vt:lpstr>Cap_4</vt:lpstr>
      <vt:lpstr>Cap_9</vt:lpstr>
      <vt:lpstr>Cap_15</vt:lpstr>
      <vt:lpstr>Cap19</vt:lpstr>
      <vt:lpstr>Cap_20</vt:lpstr>
      <vt:lpstr>Cap_21</vt:lpstr>
      <vt:lpstr>Cap_22</vt:lpstr>
      <vt:lpstr>Cap_23</vt:lpstr>
      <vt:lpstr>Cap_24</vt:lpstr>
      <vt:lpstr>Cap_25</vt:lpstr>
      <vt:lpstr>Cap_27</vt:lpstr>
      <vt:lpstr>Cap_28</vt:lpstr>
      <vt:lpstr>Cap_29</vt:lpstr>
      <vt:lpstr>Cap_30</vt:lpstr>
      <vt:lpstr>Cap_33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APG</dc:creator>
  <cp:lastModifiedBy>Microsoft Office User</cp:lastModifiedBy>
  <dcterms:created xsi:type="dcterms:W3CDTF">2016-07-05T21:12:18Z</dcterms:created>
  <dcterms:modified xsi:type="dcterms:W3CDTF">2020-05-18T17:30:30Z</dcterms:modified>
</cp:coreProperties>
</file>